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uis\Desktop\Escola\LAB\T4\"/>
    </mc:Choice>
  </mc:AlternateContent>
  <xr:revisionPtr revIDLastSave="0" documentId="13_ncr:1_{DB3789C0-3A3C-4FA6-A882-481C40B5F37C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Tabelas" sheetId="10" r:id="rId1"/>
    <sheet name="Montagem experimental" sheetId="5" r:id="rId2"/>
    <sheet name="Análise 1" sheetId="13" r:id="rId3"/>
    <sheet name="Análise 2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14" l="1"/>
  <c r="F14" i="14"/>
  <c r="F49" i="14"/>
  <c r="F55" i="14"/>
  <c r="F61" i="14"/>
  <c r="F67" i="14"/>
  <c r="F73" i="14"/>
  <c r="F79" i="14"/>
  <c r="F85" i="14"/>
  <c r="F43" i="14"/>
  <c r="F26" i="14"/>
  <c r="F20" i="14"/>
  <c r="F32" i="14"/>
  <c r="G11" i="14"/>
  <c r="E5" i="14"/>
  <c r="L88" i="14"/>
  <c r="M88" i="14" s="1"/>
  <c r="G88" i="14"/>
  <c r="H88" i="14" s="1"/>
  <c r="L85" i="14"/>
  <c r="M85" i="14" s="1"/>
  <c r="G85" i="14"/>
  <c r="L82" i="14"/>
  <c r="M82" i="14" s="1"/>
  <c r="G82" i="14"/>
  <c r="H82" i="14" s="1"/>
  <c r="L79" i="14"/>
  <c r="M79" i="14" s="1"/>
  <c r="G79" i="14"/>
  <c r="H79" i="14" s="1"/>
  <c r="L76" i="14"/>
  <c r="M76" i="14" s="1"/>
  <c r="G76" i="14"/>
  <c r="H76" i="14" s="1"/>
  <c r="L73" i="14"/>
  <c r="M73" i="14" s="1"/>
  <c r="G73" i="14"/>
  <c r="L70" i="14"/>
  <c r="M70" i="14" s="1"/>
  <c r="G70" i="14"/>
  <c r="H70" i="14" s="1"/>
  <c r="L67" i="14"/>
  <c r="M67" i="14" s="1"/>
  <c r="G67" i="14"/>
  <c r="H67" i="14" s="1"/>
  <c r="L64" i="14"/>
  <c r="M64" i="14" s="1"/>
  <c r="G64" i="14"/>
  <c r="H64" i="14" s="1"/>
  <c r="L61" i="14"/>
  <c r="M61" i="14" s="1"/>
  <c r="G61" i="14"/>
  <c r="L58" i="14"/>
  <c r="M58" i="14" s="1"/>
  <c r="G58" i="14"/>
  <c r="H58" i="14" s="1"/>
  <c r="L55" i="14"/>
  <c r="M55" i="14" s="1"/>
  <c r="G55" i="14"/>
  <c r="L52" i="14"/>
  <c r="M52" i="14" s="1"/>
  <c r="G52" i="14"/>
  <c r="H52" i="14" s="1"/>
  <c r="L49" i="14"/>
  <c r="M49" i="14" s="1"/>
  <c r="G49" i="14"/>
  <c r="H49" i="14" s="1"/>
  <c r="L46" i="14"/>
  <c r="M46" i="14" s="1"/>
  <c r="G46" i="14"/>
  <c r="H46" i="14" s="1"/>
  <c r="L43" i="14"/>
  <c r="M43" i="14" s="1"/>
  <c r="G43" i="14"/>
  <c r="H43" i="14" s="1"/>
  <c r="L35" i="14"/>
  <c r="M35" i="14" s="1"/>
  <c r="G35" i="14"/>
  <c r="H35" i="14" s="1"/>
  <c r="L32" i="14"/>
  <c r="M32" i="14" s="1"/>
  <c r="G32" i="14"/>
  <c r="L29" i="14"/>
  <c r="M29" i="14" s="1"/>
  <c r="G29" i="14"/>
  <c r="H29" i="14" s="1"/>
  <c r="L26" i="14"/>
  <c r="M26" i="14" s="1"/>
  <c r="G26" i="14"/>
  <c r="H26" i="14" s="1"/>
  <c r="L23" i="14"/>
  <c r="M23" i="14" s="1"/>
  <c r="G23" i="14"/>
  <c r="H23" i="14" s="1"/>
  <c r="L20" i="14"/>
  <c r="M20" i="14" s="1"/>
  <c r="G20" i="14"/>
  <c r="L17" i="14"/>
  <c r="M17" i="14" s="1"/>
  <c r="G17" i="14"/>
  <c r="H17" i="14" s="1"/>
  <c r="L14" i="14"/>
  <c r="M14" i="14" s="1"/>
  <c r="G14" i="14"/>
  <c r="H14" i="14" s="1"/>
  <c r="M11" i="14"/>
  <c r="N11" i="14" s="1"/>
  <c r="M15" i="13"/>
  <c r="N15" i="13" s="1"/>
  <c r="O15" i="13" s="1"/>
  <c r="O80" i="13"/>
  <c r="O68" i="13"/>
  <c r="O56" i="13"/>
  <c r="O44" i="13"/>
  <c r="O33" i="13"/>
  <c r="O27" i="13"/>
  <c r="M47" i="13"/>
  <c r="M50" i="13"/>
  <c r="M53" i="13"/>
  <c r="M56" i="13"/>
  <c r="M59" i="13"/>
  <c r="M62" i="13"/>
  <c r="M65" i="13"/>
  <c r="M68" i="13"/>
  <c r="M71" i="13"/>
  <c r="M74" i="13"/>
  <c r="M77" i="13"/>
  <c r="M80" i="13"/>
  <c r="M83" i="13"/>
  <c r="M86" i="13"/>
  <c r="M89" i="13"/>
  <c r="M44" i="13"/>
  <c r="K89" i="13"/>
  <c r="L89" i="13" s="1"/>
  <c r="K86" i="13"/>
  <c r="L86" i="13"/>
  <c r="K83" i="13"/>
  <c r="K80" i="13"/>
  <c r="K77" i="13"/>
  <c r="K74" i="13"/>
  <c r="L74" i="13" s="1"/>
  <c r="K71" i="13"/>
  <c r="L71" i="13" s="1"/>
  <c r="K68" i="13"/>
  <c r="K65" i="13"/>
  <c r="K62" i="13"/>
  <c r="K59" i="13"/>
  <c r="L59" i="13" s="1"/>
  <c r="K56" i="13"/>
  <c r="L56" i="13" s="1"/>
  <c r="K53" i="13"/>
  <c r="L53" i="13" s="1"/>
  <c r="K50" i="13"/>
  <c r="K47" i="13"/>
  <c r="K44" i="13"/>
  <c r="N18" i="13"/>
  <c r="M18" i="13"/>
  <c r="M21" i="13"/>
  <c r="M24" i="13"/>
  <c r="M27" i="13"/>
  <c r="M30" i="13"/>
  <c r="M33" i="13"/>
  <c r="M36" i="13"/>
  <c r="K36" i="13"/>
  <c r="L36" i="13"/>
  <c r="K30" i="13"/>
  <c r="K27" i="13"/>
  <c r="L27" i="13" s="1"/>
  <c r="K24" i="13"/>
  <c r="L24" i="13"/>
  <c r="K21" i="13"/>
  <c r="L21" i="13" s="1"/>
  <c r="K18" i="13"/>
  <c r="K15" i="13"/>
  <c r="L15" i="13"/>
  <c r="L18" i="13"/>
  <c r="L30" i="13"/>
  <c r="K33" i="13"/>
  <c r="K12" i="13"/>
  <c r="L12" i="13" s="1"/>
  <c r="L65" i="13"/>
  <c r="L77" i="13"/>
  <c r="L33" i="13"/>
  <c r="L47" i="13"/>
  <c r="L50" i="13"/>
  <c r="L62" i="13"/>
  <c r="L68" i="13"/>
  <c r="L80" i="13"/>
  <c r="L83" i="13"/>
  <c r="L44" i="13"/>
  <c r="F71" i="13"/>
  <c r="F74" i="13"/>
  <c r="F77" i="13"/>
  <c r="F80" i="13"/>
  <c r="F83" i="13"/>
  <c r="F86" i="13"/>
  <c r="F89" i="13"/>
  <c r="F59" i="13"/>
  <c r="F62" i="13"/>
  <c r="F65" i="13"/>
  <c r="F68" i="13"/>
  <c r="F56" i="13"/>
  <c r="F53" i="13"/>
  <c r="F50" i="13"/>
  <c r="F47" i="13"/>
  <c r="F44" i="13"/>
  <c r="F33" i="13"/>
  <c r="F36" i="13"/>
  <c r="F15" i="13"/>
  <c r="G15" i="13" s="1"/>
  <c r="F18" i="13"/>
  <c r="F21" i="13"/>
  <c r="F24" i="13"/>
  <c r="F27" i="13"/>
  <c r="F30" i="13"/>
  <c r="F12" i="13"/>
  <c r="E5" i="13"/>
  <c r="H32" i="14" l="1"/>
  <c r="H85" i="14"/>
  <c r="I85" i="14" s="1"/>
  <c r="H61" i="14"/>
  <c r="H55" i="14"/>
  <c r="H20" i="14"/>
  <c r="H73" i="14"/>
  <c r="N58" i="14"/>
  <c r="N49" i="14"/>
  <c r="N79" i="14"/>
  <c r="N35" i="14"/>
  <c r="I55" i="14"/>
  <c r="N26" i="14"/>
  <c r="N17" i="14"/>
  <c r="I46" i="14"/>
  <c r="N23" i="14"/>
  <c r="N46" i="14"/>
  <c r="I64" i="14"/>
  <c r="I82" i="14"/>
  <c r="O26" i="14"/>
  <c r="I49" i="14"/>
  <c r="I73" i="14"/>
  <c r="O58" i="14"/>
  <c r="I67" i="14"/>
  <c r="I43" i="14"/>
  <c r="I52" i="14"/>
  <c r="I76" i="14"/>
  <c r="I61" i="14"/>
  <c r="I88" i="14"/>
  <c r="I14" i="14"/>
  <c r="I32" i="14"/>
  <c r="N85" i="14"/>
  <c r="N52" i="14"/>
  <c r="N29" i="14"/>
  <c r="N70" i="14"/>
  <c r="N61" i="14"/>
  <c r="N55" i="14"/>
  <c r="N32" i="14"/>
  <c r="N20" i="14"/>
  <c r="N14" i="14"/>
  <c r="N82" i="14"/>
  <c r="N73" i="14"/>
  <c r="N67" i="14"/>
  <c r="N64" i="14"/>
  <c r="N76" i="14"/>
  <c r="N43" i="14"/>
  <c r="N88" i="14"/>
  <c r="N89" i="13"/>
  <c r="N33" i="13"/>
  <c r="G47" i="13"/>
  <c r="H47" i="13" s="1"/>
  <c r="G33" i="13"/>
  <c r="H33" i="13" s="1"/>
  <c r="G89" i="13"/>
  <c r="H89" i="13" s="1"/>
  <c r="G65" i="13"/>
  <c r="H65" i="13" s="1"/>
  <c r="G36" i="13"/>
  <c r="H36" i="13" s="1"/>
  <c r="G30" i="13"/>
  <c r="H30" i="13" s="1"/>
  <c r="G27" i="13"/>
  <c r="H27" i="13" s="1"/>
  <c r="G86" i="13"/>
  <c r="H86" i="13" s="1"/>
  <c r="G62" i="13"/>
  <c r="H62" i="13" s="1"/>
  <c r="G83" i="13"/>
  <c r="H83" i="13" s="1"/>
  <c r="G68" i="13"/>
  <c r="H68" i="13" s="1"/>
  <c r="G59" i="13"/>
  <c r="H59" i="13" s="1"/>
  <c r="G21" i="13"/>
  <c r="H21" i="13" s="1"/>
  <c r="G80" i="13"/>
  <c r="H80" i="13" s="1"/>
  <c r="G56" i="13"/>
  <c r="H56" i="13" s="1"/>
  <c r="G44" i="13"/>
  <c r="H44" i="13" s="1"/>
  <c r="G77" i="13"/>
  <c r="H77" i="13" s="1"/>
  <c r="G53" i="13"/>
  <c r="H53" i="13" s="1"/>
  <c r="G71" i="13"/>
  <c r="H71" i="13" s="1"/>
  <c r="G24" i="13"/>
  <c r="H24" i="13" s="1"/>
  <c r="H15" i="13"/>
  <c r="G18" i="13"/>
  <c r="H18" i="13" s="1"/>
  <c r="G74" i="13"/>
  <c r="H74" i="13" s="1"/>
  <c r="G50" i="13"/>
  <c r="H50" i="13" s="1"/>
  <c r="O23" i="14" l="1"/>
  <c r="O79" i="14"/>
  <c r="O29" i="14"/>
  <c r="P26" i="14" s="1"/>
  <c r="O67" i="14"/>
  <c r="I29" i="14"/>
  <c r="O70" i="14"/>
  <c r="O20" i="14"/>
  <c r="O35" i="14"/>
  <c r="O64" i="14"/>
  <c r="O17" i="14"/>
  <c r="I23" i="14"/>
  <c r="O88" i="14"/>
  <c r="I58" i="14"/>
  <c r="J55" i="14" s="1"/>
  <c r="Q55" i="14" s="1"/>
  <c r="O61" i="14"/>
  <c r="O76" i="14"/>
  <c r="O49" i="14"/>
  <c r="O82" i="14"/>
  <c r="I17" i="14"/>
  <c r="O85" i="14"/>
  <c r="I26" i="14"/>
  <c r="O32" i="14"/>
  <c r="I20" i="14"/>
  <c r="O73" i="14"/>
  <c r="I70" i="14"/>
  <c r="J67" i="14" s="1"/>
  <c r="Q67" i="14" s="1"/>
  <c r="O46" i="14"/>
  <c r="O14" i="14"/>
  <c r="O43" i="14"/>
  <c r="I79" i="14"/>
  <c r="J79" i="14" s="1"/>
  <c r="Q79" i="14" s="1"/>
  <c r="I35" i="14"/>
  <c r="J32" i="14" s="1"/>
  <c r="Q32" i="14" s="1"/>
  <c r="O52" i="14"/>
  <c r="J43" i="14"/>
  <c r="Q43" i="14" s="1"/>
  <c r="N71" i="13"/>
  <c r="N50" i="13"/>
  <c r="N36" i="13"/>
  <c r="N62" i="13"/>
  <c r="N56" i="13"/>
  <c r="N65" i="13"/>
  <c r="N59" i="13"/>
  <c r="N24" i="13"/>
  <c r="N68" i="13"/>
  <c r="N83" i="13"/>
  <c r="N30" i="13"/>
  <c r="N27" i="13"/>
  <c r="N74" i="13"/>
  <c r="N47" i="13"/>
  <c r="N86" i="13"/>
  <c r="N77" i="13"/>
  <c r="N21" i="13"/>
  <c r="N80" i="13"/>
  <c r="N44" i="13"/>
  <c r="N53" i="13"/>
  <c r="I27" i="13"/>
  <c r="P27" i="13" s="1"/>
  <c r="I80" i="13"/>
  <c r="P80" i="13" s="1"/>
  <c r="I44" i="13"/>
  <c r="P44" i="13" s="1"/>
  <c r="I68" i="13"/>
  <c r="P68" i="13" s="1"/>
  <c r="I56" i="13"/>
  <c r="P56" i="13" s="1"/>
  <c r="I15" i="13"/>
  <c r="P15" i="13" s="1"/>
  <c r="I33" i="13"/>
  <c r="P33" i="13" s="1"/>
  <c r="J26" i="14" l="1"/>
  <c r="Q26" i="14" s="1"/>
  <c r="P67" i="14"/>
  <c r="J14" i="14"/>
  <c r="Q14" i="14" s="1"/>
  <c r="P14" i="14"/>
  <c r="P32" i="14"/>
  <c r="P55" i="14"/>
  <c r="P79" i="14"/>
  <c r="P43" i="14"/>
</calcChain>
</file>

<file path=xl/sharedStrings.xml><?xml version="1.0" encoding="utf-8"?>
<sst xmlns="http://schemas.openxmlformats.org/spreadsheetml/2006/main" count="71" uniqueCount="37">
  <si>
    <t>n</t>
  </si>
  <si>
    <t>m</t>
  </si>
  <si>
    <t>amarela</t>
  </si>
  <si>
    <t>violeta</t>
  </si>
  <si>
    <t>azul</t>
  </si>
  <si>
    <t>verde</t>
  </si>
  <si>
    <t>amarelo</t>
  </si>
  <si>
    <t>azul turquesa</t>
  </si>
  <si>
    <t>A</t>
  </si>
  <si>
    <t>E</t>
  </si>
  <si>
    <t>D</t>
  </si>
  <si>
    <t>G</t>
  </si>
  <si>
    <t>F</t>
  </si>
  <si>
    <t>C</t>
  </si>
  <si>
    <t>B</t>
  </si>
  <si>
    <t>Arranjo experimental</t>
  </si>
  <si>
    <t>colimador com fenda de abertura regulável</t>
  </si>
  <si>
    <t>nónio (escala  Vernier)</t>
  </si>
  <si>
    <r>
      <t xml:space="preserve">Esquema do funcionamento do espectroscópio de rede de difracção. A rede tem de ser posicionada perpendicularmente ao feixe incidente (incidência normal: </t>
    </r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>=0)</t>
    </r>
  </si>
  <si>
    <t>suporte da lâmpada</t>
  </si>
  <si>
    <t>lupa para leitura da escala de Vernier</t>
  </si>
  <si>
    <t xml:space="preserve">Espectrómetro de rede: </t>
  </si>
  <si>
    <t>Pormenor do nónio (F)</t>
  </si>
  <si>
    <t>telescópio para observação das imagens da fenda</t>
  </si>
  <si>
    <t>suporte rotativo que permite ajustar a posição do telescópio</t>
  </si>
  <si>
    <t>plataforma giratória com a rede de difracção acoplada</t>
  </si>
  <si>
    <t>risca central</t>
  </si>
  <si>
    <t>Lâmpada de mercúrio</t>
  </si>
  <si>
    <t>Lâmpada de sódio</t>
  </si>
  <si>
    <t>Esquema do que se observa com a lâmpada de mercúrio (posição angular crescente para a direita)</t>
  </si>
  <si>
    <t>Rede (fendas por mm):</t>
  </si>
  <si>
    <t>Espaçamento entre as irregularidades (Å):</t>
  </si>
  <si>
    <t>Ordem</t>
  </si>
  <si>
    <t>Leitura na escala</t>
  </si>
  <si>
    <t xml:space="preserve">     (ᵒ)</t>
  </si>
  <si>
    <t xml:space="preserve">       (ᵒ)</t>
  </si>
  <si>
    <t xml:space="preserve">    (ᵒ)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</si>
</sst>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7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0" fontId="0" fillId="8" borderId="1" xfId="0" applyFill="1" applyBorder="1" applyAlignment="1"/>
    <xf numFmtId="0" fontId="1" fillId="8" borderId="1" xfId="0" applyFont="1" applyFill="1" applyBorder="1" applyAlignment="1">
      <alignment horizontal="center"/>
    </xf>
    <xf numFmtId="0" fontId="0" fillId="8" borderId="7" xfId="0" applyFill="1" applyBorder="1" applyAlignment="1"/>
    <xf numFmtId="0" fontId="0" fillId="8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8" borderId="6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165" fontId="0" fillId="7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7" borderId="5" xfId="0" applyNumberFormat="1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textRotation="90"/>
    </xf>
    <xf numFmtId="0" fontId="0" fillId="7" borderId="7" xfId="0" applyFill="1" applyBorder="1" applyAlignment="1">
      <alignment horizontal="center" vertical="center" textRotation="90"/>
    </xf>
    <xf numFmtId="164" fontId="0" fillId="7" borderId="3" xfId="0" applyNumberForma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textRotation="90"/>
    </xf>
    <xf numFmtId="0" fontId="0" fillId="5" borderId="6" xfId="0" applyFill="1" applyBorder="1" applyAlignment="1">
      <alignment horizontal="center" vertical="center" textRotation="90"/>
    </xf>
    <xf numFmtId="0" fontId="0" fillId="5" borderId="7" xfId="0" applyFill="1" applyBorder="1" applyAlignment="1">
      <alignment horizontal="center" vertical="center" textRotation="90"/>
    </xf>
    <xf numFmtId="0" fontId="0" fillId="3" borderId="5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/>
    </xf>
    <xf numFmtId="0" fontId="0" fillId="3" borderId="7" xfId="0" applyFill="1" applyBorder="1" applyAlignment="1">
      <alignment horizontal="center" vertical="center" textRotation="90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textRotation="90"/>
    </xf>
    <xf numFmtId="0" fontId="0" fillId="6" borderId="6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 textRotation="90"/>
    </xf>
    <xf numFmtId="164" fontId="0" fillId="6" borderId="2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textRotation="90"/>
    </xf>
    <xf numFmtId="0" fontId="0" fillId="4" borderId="6" xfId="0" applyFill="1" applyBorder="1" applyAlignment="1">
      <alignment horizontal="center" vertical="center" textRotation="90"/>
    </xf>
    <xf numFmtId="0" fontId="0" fillId="4" borderId="7" xfId="0" applyFill="1" applyBorder="1" applyAlignment="1">
      <alignment horizontal="center" vertical="center" textRotation="90"/>
    </xf>
    <xf numFmtId="164" fontId="0" fillId="4" borderId="2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7F5"/>
      <color rgb="FFFF6600"/>
      <color rgb="FF50D0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3" Type="http://schemas.openxmlformats.org/officeDocument/2006/relationships/image" Target="../media/image11.png"/><Relationship Id="rId21" Type="http://schemas.openxmlformats.org/officeDocument/2006/relationships/image" Target="../media/image29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Relationship Id="rId22" Type="http://schemas.openxmlformats.org/officeDocument/2006/relationships/image" Target="../media/image3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1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33.png"/><Relationship Id="rId2" Type="http://schemas.openxmlformats.org/officeDocument/2006/relationships/image" Target="../media/image10.png"/><Relationship Id="rId16" Type="http://schemas.openxmlformats.org/officeDocument/2006/relationships/image" Target="../media/image32.png"/><Relationship Id="rId1" Type="http://schemas.openxmlformats.org/officeDocument/2006/relationships/image" Target="../media/image9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419744</xdr:colOff>
      <xdr:row>39</xdr:row>
      <xdr:rowOff>51872</xdr:rowOff>
    </xdr:from>
    <xdr:to>
      <xdr:col>22</xdr:col>
      <xdr:colOff>403416</xdr:colOff>
      <xdr:row>58</xdr:row>
      <xdr:rowOff>154606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216887" y="7216033"/>
          <a:ext cx="3657600" cy="3592966"/>
          <a:chOff x="5484019" y="1552575"/>
          <a:chExt cx="5998369" cy="5962650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pSpPr/>
        </xdr:nvGrpSpPr>
        <xdr:grpSpPr>
          <a:xfrm>
            <a:off x="5484019" y="1552575"/>
            <a:ext cx="5998369" cy="5962650"/>
            <a:chOff x="5540321" y="1578406"/>
            <a:chExt cx="6054671" cy="6062743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/>
          </xdr:nvSpPr>
          <xdr:spPr>
            <a:xfrm>
              <a:off x="5540321" y="1578406"/>
              <a:ext cx="6054671" cy="6062743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/>
          </xdr:nvSpPr>
          <xdr:spPr>
            <a:xfrm>
              <a:off x="8418081" y="1597456"/>
              <a:ext cx="299150" cy="1937288"/>
            </a:xfrm>
            <a:prstGeom prst="rect">
              <a:avLst/>
            </a:prstGeom>
            <a:solidFill>
              <a:schemeClr val="tx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5" name="Straight Connector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CxnSpPr/>
          </xdr:nvCxnSpPr>
          <xdr:spPr>
            <a:xfrm flipH="1">
              <a:off x="8558131" y="1597456"/>
              <a:ext cx="19050" cy="4106405"/>
            </a:xfrm>
            <a:prstGeom prst="line">
              <a:avLst/>
            </a:prstGeom>
            <a:ln>
              <a:solidFill>
                <a:srgbClr val="FFC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8418081" y="5703861"/>
              <a:ext cx="299150" cy="1937288"/>
            </a:xfrm>
            <a:prstGeom prst="rect">
              <a:avLst/>
            </a:prstGeom>
            <a:solidFill>
              <a:schemeClr val="tx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7224470" y="4687593"/>
              <a:ext cx="2686373" cy="76200"/>
            </a:xfrm>
            <a:prstGeom prst="rect">
              <a:avLst/>
            </a:prstGeom>
            <a:solidFill>
              <a:srgbClr val="7030A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6500813" y="1952626"/>
            <a:ext cx="1988343" cy="2655093"/>
          </a:xfrm>
          <a:custGeom>
            <a:avLst/>
            <a:gdLst>
              <a:gd name="connsiteX0" fmla="*/ 0 w 6019800"/>
              <a:gd name="connsiteY0" fmla="*/ 2981325 h 5962650"/>
              <a:gd name="connsiteX1" fmla="*/ 3009900 w 6019800"/>
              <a:gd name="connsiteY1" fmla="*/ 0 h 5962650"/>
              <a:gd name="connsiteX2" fmla="*/ 6019800 w 6019800"/>
              <a:gd name="connsiteY2" fmla="*/ 2981325 h 5962650"/>
              <a:gd name="connsiteX3" fmla="*/ 3009900 w 6019800"/>
              <a:gd name="connsiteY3" fmla="*/ 5962650 h 5962650"/>
              <a:gd name="connsiteX4" fmla="*/ 0 w 6019800"/>
              <a:gd name="connsiteY4" fmla="*/ 2981325 h 5962650"/>
              <a:gd name="connsiteX0" fmla="*/ 50397 w 6293732"/>
              <a:gd name="connsiteY0" fmla="*/ 2981325 h 4264449"/>
              <a:gd name="connsiteX1" fmla="*/ 3060297 w 6293732"/>
              <a:gd name="connsiteY1" fmla="*/ 0 h 4264449"/>
              <a:gd name="connsiteX2" fmla="*/ 6070197 w 6293732"/>
              <a:gd name="connsiteY2" fmla="*/ 2981325 h 4264449"/>
              <a:gd name="connsiteX3" fmla="*/ 5270097 w 6293732"/>
              <a:gd name="connsiteY3" fmla="*/ 4219575 h 4264449"/>
              <a:gd name="connsiteX4" fmla="*/ 50397 w 6293732"/>
              <a:gd name="connsiteY4" fmla="*/ 2981325 h 4264449"/>
              <a:gd name="connsiteX0" fmla="*/ 50397 w 6293732"/>
              <a:gd name="connsiteY0" fmla="*/ 2981325 h 4264449"/>
              <a:gd name="connsiteX1" fmla="*/ 3060297 w 6293732"/>
              <a:gd name="connsiteY1" fmla="*/ 0 h 4264449"/>
              <a:gd name="connsiteX2" fmla="*/ 6070197 w 6293732"/>
              <a:gd name="connsiteY2" fmla="*/ 2981325 h 4264449"/>
              <a:gd name="connsiteX3" fmla="*/ 5270097 w 6293732"/>
              <a:gd name="connsiteY3" fmla="*/ 4219575 h 4264449"/>
              <a:gd name="connsiteX4" fmla="*/ 50397 w 6293732"/>
              <a:gd name="connsiteY4" fmla="*/ 2981325 h 4264449"/>
              <a:gd name="connsiteX0" fmla="*/ 36651 w 5341513"/>
              <a:gd name="connsiteY0" fmla="*/ 2993461 h 4362295"/>
              <a:gd name="connsiteX1" fmla="*/ 3046551 w 5341513"/>
              <a:gd name="connsiteY1" fmla="*/ 12136 h 4362295"/>
              <a:gd name="connsiteX2" fmla="*/ 5256351 w 5341513"/>
              <a:gd name="connsiteY2" fmla="*/ 4231711 h 4362295"/>
              <a:gd name="connsiteX3" fmla="*/ 36651 w 5341513"/>
              <a:gd name="connsiteY3" fmla="*/ 2993461 h 4362295"/>
              <a:gd name="connsiteX0" fmla="*/ 33118 w 3674219"/>
              <a:gd name="connsiteY0" fmla="*/ 2981333 h 3447400"/>
              <a:gd name="connsiteX1" fmla="*/ 3043018 w 3674219"/>
              <a:gd name="connsiteY1" fmla="*/ 8 h 3447400"/>
              <a:gd name="connsiteX2" fmla="*/ 3424018 w 3674219"/>
              <a:gd name="connsiteY2" fmla="*/ 3009908 h 3447400"/>
              <a:gd name="connsiteX3" fmla="*/ 33118 w 3674219"/>
              <a:gd name="connsiteY3" fmla="*/ 2981333 h 3447400"/>
              <a:gd name="connsiteX0" fmla="*/ 33118 w 3674219"/>
              <a:gd name="connsiteY0" fmla="*/ 2981333 h 3447400"/>
              <a:gd name="connsiteX1" fmla="*/ 3043018 w 3674219"/>
              <a:gd name="connsiteY1" fmla="*/ 8 h 3447400"/>
              <a:gd name="connsiteX2" fmla="*/ 3424018 w 3674219"/>
              <a:gd name="connsiteY2" fmla="*/ 3009908 h 3447400"/>
              <a:gd name="connsiteX3" fmla="*/ 33118 w 3674219"/>
              <a:gd name="connsiteY3" fmla="*/ 2981333 h 3447400"/>
              <a:gd name="connsiteX0" fmla="*/ 33118 w 3674219"/>
              <a:gd name="connsiteY0" fmla="*/ 2981333 h 3447400"/>
              <a:gd name="connsiteX1" fmla="*/ 3043018 w 3674219"/>
              <a:gd name="connsiteY1" fmla="*/ 8 h 3447400"/>
              <a:gd name="connsiteX2" fmla="*/ 3424018 w 3674219"/>
              <a:gd name="connsiteY2" fmla="*/ 3009908 h 3447400"/>
              <a:gd name="connsiteX3" fmla="*/ 33118 w 3674219"/>
              <a:gd name="connsiteY3" fmla="*/ 2981333 h 3447400"/>
              <a:gd name="connsiteX0" fmla="*/ 88833 w 3684488"/>
              <a:gd name="connsiteY0" fmla="*/ 3095707 h 3561774"/>
              <a:gd name="connsiteX1" fmla="*/ 993709 w 3684488"/>
              <a:gd name="connsiteY1" fmla="*/ 695408 h 3561774"/>
              <a:gd name="connsiteX2" fmla="*/ 3098733 w 3684488"/>
              <a:gd name="connsiteY2" fmla="*/ 114382 h 3561774"/>
              <a:gd name="connsiteX3" fmla="*/ 3479733 w 3684488"/>
              <a:gd name="connsiteY3" fmla="*/ 3124282 h 3561774"/>
              <a:gd name="connsiteX4" fmla="*/ 88833 w 3684488"/>
              <a:gd name="connsiteY4" fmla="*/ 3095707 h 3561774"/>
              <a:gd name="connsiteX0" fmla="*/ 257552 w 3072157"/>
              <a:gd name="connsiteY0" fmla="*/ 1266907 h 3216008"/>
              <a:gd name="connsiteX1" fmla="*/ 381378 w 3072157"/>
              <a:gd name="connsiteY1" fmla="*/ 695408 h 3216008"/>
              <a:gd name="connsiteX2" fmla="*/ 2486402 w 3072157"/>
              <a:gd name="connsiteY2" fmla="*/ 114382 h 3216008"/>
              <a:gd name="connsiteX3" fmla="*/ 2867402 w 3072157"/>
              <a:gd name="connsiteY3" fmla="*/ 3124282 h 3216008"/>
              <a:gd name="connsiteX4" fmla="*/ 257552 w 3072157"/>
              <a:gd name="connsiteY4" fmla="*/ 1266907 h 3216008"/>
              <a:gd name="connsiteX0" fmla="*/ 257552 w 2972410"/>
              <a:gd name="connsiteY0" fmla="*/ 989671 h 2938772"/>
              <a:gd name="connsiteX1" fmla="*/ 381378 w 2972410"/>
              <a:gd name="connsiteY1" fmla="*/ 418172 h 2938772"/>
              <a:gd name="connsiteX2" fmla="*/ 1581527 w 2972410"/>
              <a:gd name="connsiteY2" fmla="*/ 208621 h 2938772"/>
              <a:gd name="connsiteX3" fmla="*/ 2867402 w 2972410"/>
              <a:gd name="connsiteY3" fmla="*/ 2847046 h 2938772"/>
              <a:gd name="connsiteX4" fmla="*/ 257552 w 2972410"/>
              <a:gd name="connsiteY4" fmla="*/ 989671 h 2938772"/>
              <a:gd name="connsiteX0" fmla="*/ 257552 w 2972065"/>
              <a:gd name="connsiteY0" fmla="*/ 1034093 h 2983194"/>
              <a:gd name="connsiteX1" fmla="*/ 381378 w 2972065"/>
              <a:gd name="connsiteY1" fmla="*/ 462594 h 2983194"/>
              <a:gd name="connsiteX2" fmla="*/ 819528 w 2972065"/>
              <a:gd name="connsiteY2" fmla="*/ 129219 h 2983194"/>
              <a:gd name="connsiteX3" fmla="*/ 1581527 w 2972065"/>
              <a:gd name="connsiteY3" fmla="*/ 253043 h 2983194"/>
              <a:gd name="connsiteX4" fmla="*/ 2867402 w 2972065"/>
              <a:gd name="connsiteY4" fmla="*/ 2891468 h 2983194"/>
              <a:gd name="connsiteX5" fmla="*/ 257552 w 2972065"/>
              <a:gd name="connsiteY5" fmla="*/ 1034093 h 2983194"/>
              <a:gd name="connsiteX0" fmla="*/ 257552 w 2972065"/>
              <a:gd name="connsiteY0" fmla="*/ 970932 h 2920033"/>
              <a:gd name="connsiteX1" fmla="*/ 381378 w 2972065"/>
              <a:gd name="connsiteY1" fmla="*/ 399433 h 2920033"/>
              <a:gd name="connsiteX2" fmla="*/ 819528 w 2972065"/>
              <a:gd name="connsiteY2" fmla="*/ 66058 h 2920033"/>
              <a:gd name="connsiteX3" fmla="*/ 1581527 w 2972065"/>
              <a:gd name="connsiteY3" fmla="*/ 189882 h 2920033"/>
              <a:gd name="connsiteX4" fmla="*/ 2867402 w 2972065"/>
              <a:gd name="connsiteY4" fmla="*/ 2828307 h 2920033"/>
              <a:gd name="connsiteX5" fmla="*/ 257552 w 2972065"/>
              <a:gd name="connsiteY5" fmla="*/ 970932 h 2920033"/>
              <a:gd name="connsiteX0" fmla="*/ 257552 w 2871070"/>
              <a:gd name="connsiteY0" fmla="*/ 904874 h 2853975"/>
              <a:gd name="connsiteX1" fmla="*/ 381378 w 2871070"/>
              <a:gd name="connsiteY1" fmla="*/ 333375 h 2853975"/>
              <a:gd name="connsiteX2" fmla="*/ 819528 w 2871070"/>
              <a:gd name="connsiteY2" fmla="*/ 0 h 2853975"/>
              <a:gd name="connsiteX3" fmla="*/ 2867402 w 2871070"/>
              <a:gd name="connsiteY3" fmla="*/ 2762249 h 2853975"/>
              <a:gd name="connsiteX4" fmla="*/ 257552 w 2871070"/>
              <a:gd name="connsiteY4" fmla="*/ 904874 h 2853975"/>
              <a:gd name="connsiteX0" fmla="*/ 257552 w 2424611"/>
              <a:gd name="connsiteY0" fmla="*/ 904874 h 2726963"/>
              <a:gd name="connsiteX1" fmla="*/ 381378 w 2424611"/>
              <a:gd name="connsiteY1" fmla="*/ 333375 h 2726963"/>
              <a:gd name="connsiteX2" fmla="*/ 819528 w 2424611"/>
              <a:gd name="connsiteY2" fmla="*/ 0 h 2726963"/>
              <a:gd name="connsiteX3" fmla="*/ 2419727 w 2424611"/>
              <a:gd name="connsiteY3" fmla="*/ 2628899 h 2726963"/>
              <a:gd name="connsiteX4" fmla="*/ 257552 w 2424611"/>
              <a:gd name="connsiteY4" fmla="*/ 904874 h 2726963"/>
              <a:gd name="connsiteX0" fmla="*/ 257552 w 2419727"/>
              <a:gd name="connsiteY0" fmla="*/ 904874 h 2726963"/>
              <a:gd name="connsiteX1" fmla="*/ 381378 w 2419727"/>
              <a:gd name="connsiteY1" fmla="*/ 333375 h 2726963"/>
              <a:gd name="connsiteX2" fmla="*/ 819528 w 2419727"/>
              <a:gd name="connsiteY2" fmla="*/ 0 h 2726963"/>
              <a:gd name="connsiteX3" fmla="*/ 2419727 w 2419727"/>
              <a:gd name="connsiteY3" fmla="*/ 2628899 h 2726963"/>
              <a:gd name="connsiteX4" fmla="*/ 257552 w 2419727"/>
              <a:gd name="connsiteY4" fmla="*/ 904874 h 2726963"/>
              <a:gd name="connsiteX0" fmla="*/ 257552 w 2419727"/>
              <a:gd name="connsiteY0" fmla="*/ 904874 h 2628899"/>
              <a:gd name="connsiteX1" fmla="*/ 381378 w 2419727"/>
              <a:gd name="connsiteY1" fmla="*/ 333375 h 2628899"/>
              <a:gd name="connsiteX2" fmla="*/ 819528 w 2419727"/>
              <a:gd name="connsiteY2" fmla="*/ 0 h 2628899"/>
              <a:gd name="connsiteX3" fmla="*/ 2419727 w 2419727"/>
              <a:gd name="connsiteY3" fmla="*/ 2628899 h 2628899"/>
              <a:gd name="connsiteX4" fmla="*/ 257552 w 2419727"/>
              <a:gd name="connsiteY4" fmla="*/ 904874 h 2628899"/>
              <a:gd name="connsiteX0" fmla="*/ 257552 w 2419727"/>
              <a:gd name="connsiteY0" fmla="*/ 895349 h 2628899"/>
              <a:gd name="connsiteX1" fmla="*/ 381378 w 2419727"/>
              <a:gd name="connsiteY1" fmla="*/ 333375 h 2628899"/>
              <a:gd name="connsiteX2" fmla="*/ 819528 w 2419727"/>
              <a:gd name="connsiteY2" fmla="*/ 0 h 2628899"/>
              <a:gd name="connsiteX3" fmla="*/ 2419727 w 2419727"/>
              <a:gd name="connsiteY3" fmla="*/ 2628899 h 2628899"/>
              <a:gd name="connsiteX4" fmla="*/ 257552 w 2419727"/>
              <a:gd name="connsiteY4" fmla="*/ 895349 h 2628899"/>
              <a:gd name="connsiteX0" fmla="*/ 2038349 w 2038349"/>
              <a:gd name="connsiteY0" fmla="*/ 2628899 h 2630085"/>
              <a:gd name="connsiteX1" fmla="*/ 0 w 2038349"/>
              <a:gd name="connsiteY1" fmla="*/ 333375 h 2630085"/>
              <a:gd name="connsiteX2" fmla="*/ 438150 w 2038349"/>
              <a:gd name="connsiteY2" fmla="*/ 0 h 2630085"/>
              <a:gd name="connsiteX3" fmla="*/ 2038349 w 2038349"/>
              <a:gd name="connsiteY3" fmla="*/ 2628899 h 2630085"/>
              <a:gd name="connsiteX0" fmla="*/ 2019299 w 2019299"/>
              <a:gd name="connsiteY0" fmla="*/ 2638424 h 2639604"/>
              <a:gd name="connsiteX1" fmla="*/ 0 w 2019299"/>
              <a:gd name="connsiteY1" fmla="*/ 333375 h 2639604"/>
              <a:gd name="connsiteX2" fmla="*/ 438150 w 2019299"/>
              <a:gd name="connsiteY2" fmla="*/ 0 h 2639604"/>
              <a:gd name="connsiteX3" fmla="*/ 2019299 w 2019299"/>
              <a:gd name="connsiteY3" fmla="*/ 2638424 h 2639604"/>
              <a:gd name="connsiteX0" fmla="*/ 2019299 w 2019299"/>
              <a:gd name="connsiteY0" fmla="*/ 2638424 h 2638424"/>
              <a:gd name="connsiteX1" fmla="*/ 0 w 2019299"/>
              <a:gd name="connsiteY1" fmla="*/ 333375 h 2638424"/>
              <a:gd name="connsiteX2" fmla="*/ 438150 w 2019299"/>
              <a:gd name="connsiteY2" fmla="*/ 0 h 2638424"/>
              <a:gd name="connsiteX3" fmla="*/ 2019299 w 2019299"/>
              <a:gd name="connsiteY3" fmla="*/ 2638424 h 2638424"/>
              <a:gd name="connsiteX0" fmla="*/ 2019299 w 2019299"/>
              <a:gd name="connsiteY0" fmla="*/ 2638424 h 2638424"/>
              <a:gd name="connsiteX1" fmla="*/ 0 w 2019299"/>
              <a:gd name="connsiteY1" fmla="*/ 333375 h 2638424"/>
              <a:gd name="connsiteX2" fmla="*/ 438150 w 2019299"/>
              <a:gd name="connsiteY2" fmla="*/ 0 h 2638424"/>
              <a:gd name="connsiteX3" fmla="*/ 2019299 w 2019299"/>
              <a:gd name="connsiteY3" fmla="*/ 2638424 h 2638424"/>
              <a:gd name="connsiteX0" fmla="*/ 2019299 w 2019299"/>
              <a:gd name="connsiteY0" fmla="*/ 2638424 h 2638424"/>
              <a:gd name="connsiteX1" fmla="*/ 0 w 2019299"/>
              <a:gd name="connsiteY1" fmla="*/ 333375 h 2638424"/>
              <a:gd name="connsiteX2" fmla="*/ 438150 w 2019299"/>
              <a:gd name="connsiteY2" fmla="*/ 0 h 2638424"/>
              <a:gd name="connsiteX3" fmla="*/ 2019299 w 2019299"/>
              <a:gd name="connsiteY3" fmla="*/ 2638424 h 2638424"/>
              <a:gd name="connsiteX0" fmla="*/ 2019299 w 2019299"/>
              <a:gd name="connsiteY0" fmla="*/ 2638424 h 2638424"/>
              <a:gd name="connsiteX1" fmla="*/ 0 w 2019299"/>
              <a:gd name="connsiteY1" fmla="*/ 333375 h 2638424"/>
              <a:gd name="connsiteX2" fmla="*/ 438150 w 2019299"/>
              <a:gd name="connsiteY2" fmla="*/ 0 h 2638424"/>
              <a:gd name="connsiteX3" fmla="*/ 2019299 w 2019299"/>
              <a:gd name="connsiteY3" fmla="*/ 2638424 h 2638424"/>
              <a:gd name="connsiteX0" fmla="*/ 2047874 w 2047874"/>
              <a:gd name="connsiteY0" fmla="*/ 2638424 h 2638424"/>
              <a:gd name="connsiteX1" fmla="*/ 0 w 2047874"/>
              <a:gd name="connsiteY1" fmla="*/ 323850 h 2638424"/>
              <a:gd name="connsiteX2" fmla="*/ 466725 w 2047874"/>
              <a:gd name="connsiteY2" fmla="*/ 0 h 2638424"/>
              <a:gd name="connsiteX3" fmla="*/ 2047874 w 2047874"/>
              <a:gd name="connsiteY3" fmla="*/ 2638424 h 2638424"/>
              <a:gd name="connsiteX0" fmla="*/ 2047874 w 2047874"/>
              <a:gd name="connsiteY0" fmla="*/ 2647949 h 2647949"/>
              <a:gd name="connsiteX1" fmla="*/ 0 w 2047874"/>
              <a:gd name="connsiteY1" fmla="*/ 333375 h 2647949"/>
              <a:gd name="connsiteX2" fmla="*/ 466725 w 2047874"/>
              <a:gd name="connsiteY2" fmla="*/ 0 h 2647949"/>
              <a:gd name="connsiteX3" fmla="*/ 2047874 w 2047874"/>
              <a:gd name="connsiteY3" fmla="*/ 2647949 h 2647949"/>
              <a:gd name="connsiteX0" fmla="*/ 2047874 w 2047874"/>
              <a:gd name="connsiteY0" fmla="*/ 2647949 h 2647949"/>
              <a:gd name="connsiteX1" fmla="*/ 0 w 2047874"/>
              <a:gd name="connsiteY1" fmla="*/ 333375 h 2647949"/>
              <a:gd name="connsiteX2" fmla="*/ 466725 w 2047874"/>
              <a:gd name="connsiteY2" fmla="*/ 0 h 2647949"/>
              <a:gd name="connsiteX3" fmla="*/ 2047874 w 2047874"/>
              <a:gd name="connsiteY3" fmla="*/ 2647949 h 2647949"/>
              <a:gd name="connsiteX0" fmla="*/ 2047874 w 2047874"/>
              <a:gd name="connsiteY0" fmla="*/ 2647949 h 2647949"/>
              <a:gd name="connsiteX1" fmla="*/ 0 w 2047874"/>
              <a:gd name="connsiteY1" fmla="*/ 333375 h 2647949"/>
              <a:gd name="connsiteX2" fmla="*/ 466725 w 2047874"/>
              <a:gd name="connsiteY2" fmla="*/ 0 h 2647949"/>
              <a:gd name="connsiteX3" fmla="*/ 2047874 w 2047874"/>
              <a:gd name="connsiteY3" fmla="*/ 2647949 h 264794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047874" h="2647949">
                <a:moveTo>
                  <a:pt x="2047874" y="2647949"/>
                </a:moveTo>
                <a:cubicBezTo>
                  <a:pt x="1555749" y="2141536"/>
                  <a:pt x="323850" y="742950"/>
                  <a:pt x="0" y="333375"/>
                </a:cubicBezTo>
                <a:cubicBezTo>
                  <a:pt x="227013" y="134938"/>
                  <a:pt x="247650" y="130175"/>
                  <a:pt x="466725" y="0"/>
                </a:cubicBezTo>
                <a:cubicBezTo>
                  <a:pt x="795337" y="576262"/>
                  <a:pt x="1808162" y="2230437"/>
                  <a:pt x="2047874" y="2647949"/>
                </a:cubicBezTo>
                <a:close/>
              </a:path>
            </a:pathLst>
          </a:cu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>
            <a:endCxn id="13" idx="0"/>
          </xdr:cNvCxnSpPr>
        </xdr:nvCxnSpPr>
        <xdr:spPr>
          <a:xfrm>
            <a:off x="6698456" y="2105025"/>
            <a:ext cx="1790700" cy="2502694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573200</xdr:colOff>
      <xdr:row>2</xdr:row>
      <xdr:rowOff>170089</xdr:rowOff>
    </xdr:from>
    <xdr:to>
      <xdr:col>26</xdr:col>
      <xdr:colOff>31808</xdr:colOff>
      <xdr:row>33</xdr:row>
      <xdr:rowOff>109443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7308736" y="537482"/>
          <a:ext cx="8643429" cy="5633943"/>
          <a:chOff x="7943170" y="1445759"/>
          <a:chExt cx="8643429" cy="5735997"/>
        </a:xfrm>
      </xdr:grpSpPr>
      <xdr:pic>
        <xdr:nvPicPr>
          <xdr:cNvPr id="19" name="Imagem 3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43170" y="1445759"/>
            <a:ext cx="8643429" cy="5735997"/>
          </a:xfrm>
          <a:prstGeom prst="rect">
            <a:avLst/>
          </a:prstGeom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</xdr:pic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7943170" y="1445759"/>
            <a:ext cx="538390" cy="476491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en-US" sz="2400" b="1" cap="none" spc="0">
                <a:ln/>
                <a:solidFill>
                  <a:schemeClr val="accent4"/>
                </a:solidFill>
                <a:effectLst/>
              </a:rPr>
              <a:t>Na</a:t>
            </a:r>
          </a:p>
        </xdr:txBody>
      </xdr:sp>
    </xdr:grpSp>
    <xdr:clientData/>
  </xdr:twoCellAnchor>
  <xdr:twoCellAnchor>
    <xdr:from>
      <xdr:col>0</xdr:col>
      <xdr:colOff>586586</xdr:colOff>
      <xdr:row>0</xdr:row>
      <xdr:rowOff>142875</xdr:rowOff>
    </xdr:from>
    <xdr:to>
      <xdr:col>11</xdr:col>
      <xdr:colOff>538641</xdr:colOff>
      <xdr:row>56</xdr:row>
      <xdr:rowOff>153543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pSpPr/>
      </xdr:nvGrpSpPr>
      <xdr:grpSpPr>
        <a:xfrm>
          <a:off x="586586" y="142875"/>
          <a:ext cx="6687591" cy="10297668"/>
          <a:chOff x="579783" y="909977"/>
          <a:chExt cx="6687591" cy="10488168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GrpSpPr/>
        </xdr:nvGrpSpPr>
        <xdr:grpSpPr>
          <a:xfrm>
            <a:off x="579783" y="909977"/>
            <a:ext cx="6687591" cy="10460110"/>
            <a:chOff x="579783" y="966304"/>
            <a:chExt cx="6633359" cy="10799506"/>
          </a:xfrm>
        </xdr:grpSpPr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t="410" r="1901"/>
            <a:stretch/>
          </xdr:blipFill>
          <xdr:spPr>
            <a:xfrm>
              <a:off x="628665" y="4045179"/>
              <a:ext cx="6576084" cy="7720631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</xdr:pic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9783" y="2208696"/>
              <a:ext cx="6633359" cy="1825602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</xdr:pic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8004" y="966304"/>
              <a:ext cx="6616917" cy="1238578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</xdr:pic>
      </xdr:grp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594632" y="909977"/>
            <a:ext cx="538390" cy="47649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en-US" sz="2400" b="1" cap="none" spc="0">
                <a:ln/>
                <a:solidFill>
                  <a:srgbClr val="0070C0"/>
                </a:solidFill>
                <a:effectLst/>
              </a:rPr>
              <a:t>Hg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86808" y="909977"/>
            <a:ext cx="6641987" cy="10488168"/>
          </a:xfrm>
          <a:prstGeom prst="rect">
            <a:avLst/>
          </a:prstGeom>
          <a:noFill/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noFill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</xdr:row>
      <xdr:rowOff>9524</xdr:rowOff>
    </xdr:from>
    <xdr:to>
      <xdr:col>12</xdr:col>
      <xdr:colOff>419099</xdr:colOff>
      <xdr:row>35</xdr:row>
      <xdr:rowOff>8253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581024"/>
          <a:ext cx="7115175" cy="6094729"/>
        </a:xfrm>
        <a:prstGeom prst="rect">
          <a:avLst/>
        </a:prstGeom>
      </xdr:spPr>
    </xdr:pic>
    <xdr:clientData/>
  </xdr:twoCellAnchor>
  <xdr:twoCellAnchor editAs="oneCell">
    <xdr:from>
      <xdr:col>13</xdr:col>
      <xdr:colOff>598366</xdr:colOff>
      <xdr:row>16</xdr:row>
      <xdr:rowOff>9527</xdr:rowOff>
    </xdr:from>
    <xdr:to>
      <xdr:col>22</xdr:col>
      <xdr:colOff>187202</xdr:colOff>
      <xdr:row>34</xdr:row>
      <xdr:rowOff>183173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5866" y="3135681"/>
          <a:ext cx="5084028" cy="36905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9525</xdr:rowOff>
    </xdr:from>
    <xdr:to>
      <xdr:col>18</xdr:col>
      <xdr:colOff>46324</xdr:colOff>
      <xdr:row>62</xdr:row>
      <xdr:rowOff>66120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439025"/>
          <a:ext cx="10409524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598366</xdr:colOff>
      <xdr:row>66</xdr:row>
      <xdr:rowOff>61058</xdr:rowOff>
    </xdr:from>
    <xdr:to>
      <xdr:col>24</xdr:col>
      <xdr:colOff>296901</xdr:colOff>
      <xdr:row>77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0275"/>
        <a:stretch/>
      </xdr:blipFill>
      <xdr:spPr>
        <a:xfrm>
          <a:off x="598366" y="12672158"/>
          <a:ext cx="14328935" cy="2158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337984</xdr:colOff>
      <xdr:row>1</xdr:row>
      <xdr:rowOff>30726</xdr:rowOff>
    </xdr:from>
    <xdr:to>
      <xdr:col>14</xdr:col>
      <xdr:colOff>405581</xdr:colOff>
      <xdr:row>5</xdr:row>
      <xdr:rowOff>172065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A5DF454-8FE9-48FC-B5B0-4B1919E4159D}"/>
                </a:ext>
              </a:extLst>
            </xdr:cNvPr>
            <xdr:cNvSpPr txBox="1"/>
          </xdr:nvSpPr>
          <xdr:spPr>
            <a:xfrm>
              <a:off x="4903839" y="215081"/>
              <a:ext cx="4953000" cy="8787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 espaçamento entre as irregularidades é obtido a partir da seguinte expressão: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1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7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Å</m:t>
                    </m:r>
                  </m:oMath>
                </m:oMathPara>
              </a14:m>
              <a:endParaRPr lang="pt-PT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A5DF454-8FE9-48FC-B5B0-4B1919E4159D}"/>
                </a:ext>
              </a:extLst>
            </xdr:cNvPr>
            <xdr:cNvSpPr txBox="1"/>
          </xdr:nvSpPr>
          <xdr:spPr>
            <a:xfrm>
              <a:off x="4903839" y="215081"/>
              <a:ext cx="4953000" cy="8787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1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 espaçamento entre as irregularidades é obtido a partir da seguinte expressão: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1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/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𝑑=1/𝑅×10^7  Å</a:t>
              </a:r>
              <a:endParaRPr lang="pt-PT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pt-PT" sz="1100"/>
            </a:p>
          </xdr:txBody>
        </xdr:sp>
      </mc:Fallback>
    </mc:AlternateContent>
    <xdr:clientData/>
  </xdr:twoCellAnchor>
  <xdr:twoCellAnchor>
    <xdr:from>
      <xdr:col>16</xdr:col>
      <xdr:colOff>49161</xdr:colOff>
      <xdr:row>0</xdr:row>
      <xdr:rowOff>36867</xdr:rowOff>
    </xdr:from>
    <xdr:to>
      <xdr:col>23</xdr:col>
      <xdr:colOff>319549</xdr:colOff>
      <xdr:row>91</xdr:row>
      <xdr:rowOff>6145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79E811B-F5E9-46B1-9F3F-F86DCE05C65D}"/>
                </a:ext>
              </a:extLst>
            </xdr:cNvPr>
            <xdr:cNvSpPr txBox="1"/>
          </xdr:nvSpPr>
          <xdr:spPr>
            <a:xfrm>
              <a:off x="12204290" y="36867"/>
              <a:ext cx="4528985" cy="1675171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O valor do ângulo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com a correção do nónio: </a:t>
              </a:r>
            </a:p>
            <a:p>
              <a:pPr algn="l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PT" sz="12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2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pt-PT" sz="12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</m:t>
                        </m:r>
                        <m: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pt-PT" sz="12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f>
                      <m:fPr>
                        <m:ctrlP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num>
                      <m:den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𝑁</m:t>
                        </m:r>
                      </m:den>
                    </m:f>
                    <m:r>
                      <a:rPr lang="pt-PT" sz="12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No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laboratório o valor do menor intevralo da escala principal é 0,5ᵒ e o numero de divisões totais no nónio é 30. Por isso:</a:t>
              </a:r>
            </a:p>
            <a:p>
              <a:pPr algn="l"/>
              <a:endParaRPr lang="pt-PT" sz="1100"/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Para se obter o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𝜃</m:t>
                      </m:r>
                    </m:e>
                    <m:sub>
                      <m:r>
                        <a:rPr lang="pt-PT" sz="12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pt-PT" sz="120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PT" sz="12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PT" sz="12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𝜃</m:t>
                            </m:r>
                          </m:e>
                          <m:sub>
                            <m:r>
                              <a:rPr lang="pt-PT" sz="12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𝑚</m:t>
                            </m:r>
                          </m:sub>
                        </m:sSub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</m:t>
                        </m:r>
                        <m: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</m:t>
                        </m:r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≠0</m:t>
                        </m:r>
                      </m:e>
                    </m:d>
                    <m:r>
                      <a:rPr lang="pt-PT" sz="12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pt-PT" sz="12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𝑛</m:t>
                        </m:r>
                      </m:sub>
                    </m:sSub>
                    <m:d>
                      <m:dPr>
                        <m:ctrlP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𝑚</m:t>
                        </m:r>
                        <m:r>
                          <a:rPr lang="pt-PT" sz="12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=0</m:t>
                        </m:r>
                      </m:e>
                    </m:d>
                  </m:oMath>
                </m:oMathPara>
              </a14:m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Notar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que para uma lampada diferente, o valor de ordem 0 é igual e também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 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ângulo de difracção é o mesmo para a mesma ordem, à esquerda e à direita.</a:t>
              </a: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Para obtermos o valor do comprimento</a:t>
              </a:r>
              <a:r>
                <a:rPr lang="pt-PT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de onda:</a:t>
              </a:r>
            </a:p>
            <a:p>
              <a:pPr algn="l"/>
              <a:endParaRPr lang="pt-PT" sz="1200" b="0" i="0" baseline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</m:t>
                    </m:r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unc>
                      <m:funcPr>
                        <m:ctrlPr>
                          <a:rPr lang="pt-PT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t-PT" sz="12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pt-PT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PT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PT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pt-PT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𝑚</m:t>
                                </m:r>
                              </m:sub>
                            </m:sSub>
                          </m:e>
                        </m:d>
                      </m:e>
                    </m:func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  <m:r>
                      <a:rPr lang="pt-PT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m:rPr>
                        <m:sty m:val="p"/>
                      </m:rPr>
                      <a:rPr lang="el-GR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λ</m:t>
                    </m:r>
                  </m:oMath>
                </m:oMathPara>
              </a14:m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Isto porque o ângulo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de incidência é 0.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Pode-se verificar observando a tabela que para riscas da mesma cor o comprimento de onda é semelhante. Esta diferença deve-se a erros experimentais, por isso para cada cor foi calculado um valor medio e comparar esse valor com o valor tabelado (fazendo um desvio percentual). Não se sabe ao certo o critério usado pelo grupo de alunos que realizou o trabalho, mas as riscas de maior largura são riscas com mais fácil identificação, mas tambem poderá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ter uma maior incerteza na medição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. Por esse motivo os valores de comprimento de onda tabelado selecionado é de acordo com as riscas de maior intensidade.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Observando as tabelas podemos verificar que o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𝜃</m:t>
                      </m:r>
                    </m:e>
                    <m:sub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de ordem positiva, é sempre superior ao de ordem negativa sendo que deveriam ser iguais (Como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mostra na ilustração a cima)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. Este erro sistematica deve-se ao facto do angulo da ordem 0 ser mal medido. Contudo é possível ser feita uma correção (Análise 2).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Experimental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mente era possivel verificar que a largura de uma de uma mesma risca de ordem entre 1 e 2 é diferente. Isto deve-se ao facto da intensidade ser menor em ordem 2.</a:t>
              </a:r>
              <a:endParaRPr lang="pt-PT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endParaRPr lang="pt-PT" sz="12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79E811B-F5E9-46B1-9F3F-F86DCE05C65D}"/>
                </a:ext>
              </a:extLst>
            </xdr:cNvPr>
            <xdr:cNvSpPr txBox="1"/>
          </xdr:nvSpPr>
          <xdr:spPr>
            <a:xfrm>
              <a:off x="12204290" y="36867"/>
              <a:ext cx="4528985" cy="1675171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100"/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O valor do ângulo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com a correção do nónio: </a:t>
              </a:r>
            </a:p>
            <a:p>
              <a:pPr algn="l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〖𝜃_𝑛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𝜃〗_𝑝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+𝑛/𝑁×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𝑖_𝑝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No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laboratório o valor do menor intevralo da escala principal é 0,5ᵒ e o numero de divisões totais no nónio é 30. Por isso:</a:t>
              </a:r>
            </a:p>
            <a:p>
              <a:pPr algn="l"/>
              <a:endParaRPr lang="pt-PT" sz="1100"/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effectLst/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Para se obter o 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𝜃_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𝑚</a:t>
              </a:r>
              <a:r>
                <a:rPr lang="pt-PT" sz="120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</a:p>
            <a:p>
              <a:pPr algn="r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〖𝜃_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𝑚=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𝜃〗_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𝑛 (𝑚≠0)−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𝜃_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𝑛 (𝑚=0)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Notar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que para uma lampada diferente, o valor de ordem 0 é igual e também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 </a:t>
              </a:r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ângulo de difracção é o mesmo para a mesma ordem, à esquerda e à direita.</a:t>
              </a: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r>
                <a:rPr lang="pt-PT" sz="12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Para obtermos o valor do comprimento</a:t>
              </a:r>
              <a:r>
                <a:rPr lang="pt-PT" sz="12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de onda:</a:t>
              </a:r>
            </a:p>
            <a:p>
              <a:pPr algn="l"/>
              <a:endParaRPr lang="pt-PT" sz="1200" b="0" i="0" baseline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r>
                <a:rPr lang="pt-PT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𝑑×sin⁡(𝜃_𝑚 )=𝑚×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λ</a:t>
              </a: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latin typeface="Cambria Math" panose="02040503050406030204" pitchFamily="18" charset="0"/>
                  <a:ea typeface="Cambria Math" panose="02040503050406030204" pitchFamily="18" charset="0"/>
                </a:rPr>
                <a:t>Isto porque o ângulo</a:t>
              </a:r>
              <a:r>
                <a:rPr lang="pt-PT" sz="120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de incidência é 0.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Pode-se verificar observando a tabela que para riscas da mesma cor o comprimento de onda é semelhante. Esta diferença deve-se a erros experimentais, por isso para cada cor foi calculado um valor medio e comparar esse valor com o valor tabelado (fazendo um desvio percentual). Não se sabe ao certo o critério usado pelo grupo de alunos que realizou o trabalho, mas as riscas de maior largura são riscas com mais fácil identificação, mas tambem poderá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ter uma maior incerteza na medição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. Por esse motivo os valores de comprimento de onda tabelado selecionado é de acordo com as riscas de maior intensidade.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Observando as tabelas podemos verificar que o 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𝜃_𝑚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de ordem positiva, é sempre superior ao de ordem negativa sendo que deveriam ser iguais (Como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mostra na ilustração a cima)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. Este erro sistematica deve-se ao facto do angulo da ordem 0 ser mal medido. Contudo é possível ser feita uma correção (Análise 2).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Experimental</a:t>
              </a:r>
              <a:r>
                <a:rPr lang="pt-PT" sz="120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mente era possivel verificar que a largura de uma de uma mesma risca de ordem entre 1 e 2 é diferente. Isto deve-se ao facto da intensidade ser menor em ordem 2.</a:t>
              </a:r>
              <a:endParaRPr lang="pt-PT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algn="l"/>
              <a:endParaRPr lang="pt-PT" sz="12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algn="l"/>
              <a:endParaRPr lang="pt-PT" sz="1200" baseline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3</xdr:col>
      <xdr:colOff>282678</xdr:colOff>
      <xdr:row>10</xdr:row>
      <xdr:rowOff>18437</xdr:rowOff>
    </xdr:from>
    <xdr:to>
      <xdr:col>3</xdr:col>
      <xdr:colOff>442451</xdr:colOff>
      <xdr:row>10</xdr:row>
      <xdr:rowOff>174495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F7029BC-DEF2-43F3-A777-030D66A5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259" y="1861985"/>
          <a:ext cx="159773" cy="156058"/>
        </a:xfrm>
        <a:prstGeom prst="rect">
          <a:avLst/>
        </a:prstGeom>
      </xdr:spPr>
    </xdr:pic>
    <xdr:clientData/>
  </xdr:twoCellAnchor>
  <xdr:twoCellAnchor editAs="oneCell">
    <xdr:from>
      <xdr:col>5</xdr:col>
      <xdr:colOff>141340</xdr:colOff>
      <xdr:row>9</xdr:row>
      <xdr:rowOff>116758</xdr:rowOff>
    </xdr:from>
    <xdr:to>
      <xdr:col>5</xdr:col>
      <xdr:colOff>313403</xdr:colOff>
      <xdr:row>10</xdr:row>
      <xdr:rowOff>95166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51C753C-1219-4B30-B26A-E3823EB44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953" y="1775952"/>
          <a:ext cx="172063" cy="162762"/>
        </a:xfrm>
        <a:prstGeom prst="rect">
          <a:avLst/>
        </a:prstGeom>
      </xdr:spPr>
    </xdr:pic>
    <xdr:clientData/>
  </xdr:twoCellAnchor>
  <xdr:twoCellAnchor editAs="oneCell">
    <xdr:from>
      <xdr:col>6</xdr:col>
      <xdr:colOff>79888</xdr:colOff>
      <xdr:row>9</xdr:row>
      <xdr:rowOff>104467</xdr:rowOff>
    </xdr:from>
    <xdr:to>
      <xdr:col>6</xdr:col>
      <xdr:colOff>319549</xdr:colOff>
      <xdr:row>10</xdr:row>
      <xdr:rowOff>88386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B8C4E31-DDFA-4BF6-B27E-6217095FB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5743" y="1763661"/>
          <a:ext cx="239661" cy="168273"/>
        </a:xfrm>
        <a:prstGeom prst="rect">
          <a:avLst/>
        </a:prstGeom>
      </xdr:spPr>
    </xdr:pic>
    <xdr:clientData/>
  </xdr:twoCellAnchor>
  <xdr:twoCellAnchor editAs="oneCell">
    <xdr:from>
      <xdr:col>16</xdr:col>
      <xdr:colOff>73744</xdr:colOff>
      <xdr:row>35</xdr:row>
      <xdr:rowOff>48183</xdr:rowOff>
    </xdr:from>
    <xdr:to>
      <xdr:col>23</xdr:col>
      <xdr:colOff>104469</xdr:colOff>
      <xdr:row>46</xdr:row>
      <xdr:rowOff>169749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E05D944-87E1-4C24-BCE5-59967C7C8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8873" y="6506748"/>
          <a:ext cx="4289322" cy="2149469"/>
        </a:xfrm>
        <a:prstGeom prst="rect">
          <a:avLst/>
        </a:prstGeom>
      </xdr:spPr>
    </xdr:pic>
    <xdr:clientData/>
  </xdr:twoCellAnchor>
  <xdr:twoCellAnchor editAs="oneCell">
    <xdr:from>
      <xdr:col>6</xdr:col>
      <xdr:colOff>129048</xdr:colOff>
      <xdr:row>41</xdr:row>
      <xdr:rowOff>122903</xdr:rowOff>
    </xdr:from>
    <xdr:to>
      <xdr:col>6</xdr:col>
      <xdr:colOff>319547</xdr:colOff>
      <xdr:row>42</xdr:row>
      <xdr:rowOff>79887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26586A6-0AEB-4568-9233-F415D9BDC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903" y="7687597"/>
          <a:ext cx="190499" cy="141338"/>
        </a:xfrm>
        <a:prstGeom prst="rect">
          <a:avLst/>
        </a:prstGeom>
      </xdr:spPr>
    </xdr:pic>
    <xdr:clientData/>
  </xdr:twoCellAnchor>
  <xdr:twoCellAnchor editAs="oneCell">
    <xdr:from>
      <xdr:col>5</xdr:col>
      <xdr:colOff>153628</xdr:colOff>
      <xdr:row>41</xdr:row>
      <xdr:rowOff>110613</xdr:rowOff>
    </xdr:from>
    <xdr:to>
      <xdr:col>5</xdr:col>
      <xdr:colOff>313403</xdr:colOff>
      <xdr:row>42</xdr:row>
      <xdr:rowOff>72141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85E68FA-ACA9-439B-9715-CCD3C3EA8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241" y="7675307"/>
          <a:ext cx="159775" cy="145882"/>
        </a:xfrm>
        <a:prstGeom prst="rect">
          <a:avLst/>
        </a:prstGeom>
      </xdr:spPr>
    </xdr:pic>
    <xdr:clientData/>
  </xdr:twoCellAnchor>
  <xdr:twoCellAnchor editAs="oneCell">
    <xdr:from>
      <xdr:col>3</xdr:col>
      <xdr:colOff>251951</xdr:colOff>
      <xdr:row>42</xdr:row>
      <xdr:rowOff>18436</xdr:rowOff>
    </xdr:from>
    <xdr:to>
      <xdr:col>3</xdr:col>
      <xdr:colOff>393290</xdr:colOff>
      <xdr:row>42</xdr:row>
      <xdr:rowOff>159775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836D068-CECE-48E5-9C2A-C9E104049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532" y="7767484"/>
          <a:ext cx="141339" cy="141339"/>
        </a:xfrm>
        <a:prstGeom prst="rect">
          <a:avLst/>
        </a:prstGeom>
      </xdr:spPr>
    </xdr:pic>
    <xdr:clientData/>
  </xdr:twoCellAnchor>
  <xdr:twoCellAnchor editAs="oneCell">
    <xdr:from>
      <xdr:col>7</xdr:col>
      <xdr:colOff>122904</xdr:colOff>
      <xdr:row>9</xdr:row>
      <xdr:rowOff>92178</xdr:rowOff>
    </xdr:from>
    <xdr:to>
      <xdr:col>7</xdr:col>
      <xdr:colOff>479622</xdr:colOff>
      <xdr:row>10</xdr:row>
      <xdr:rowOff>122904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FD9E2E5A-F155-4AF5-BB98-D8D87B106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3275" y="1751372"/>
          <a:ext cx="356718" cy="215080"/>
        </a:xfrm>
        <a:prstGeom prst="rect">
          <a:avLst/>
        </a:prstGeom>
      </xdr:spPr>
    </xdr:pic>
    <xdr:clientData/>
  </xdr:twoCellAnchor>
  <xdr:twoCellAnchor editAs="oneCell">
    <xdr:from>
      <xdr:col>8</xdr:col>
      <xdr:colOff>129048</xdr:colOff>
      <xdr:row>9</xdr:row>
      <xdr:rowOff>104467</xdr:rowOff>
    </xdr:from>
    <xdr:to>
      <xdr:col>8</xdr:col>
      <xdr:colOff>457897</xdr:colOff>
      <xdr:row>10</xdr:row>
      <xdr:rowOff>104467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5F9582F8-C0F9-4D98-8E90-98429166B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7790" y="1763661"/>
          <a:ext cx="328849" cy="184354"/>
        </a:xfrm>
        <a:prstGeom prst="rect">
          <a:avLst/>
        </a:prstGeom>
      </xdr:spPr>
    </xdr:pic>
    <xdr:clientData/>
  </xdr:twoCellAnchor>
  <xdr:twoCellAnchor editAs="oneCell">
    <xdr:from>
      <xdr:col>7</xdr:col>
      <xdr:colOff>135194</xdr:colOff>
      <xdr:row>41</xdr:row>
      <xdr:rowOff>98323</xdr:rowOff>
    </xdr:from>
    <xdr:to>
      <xdr:col>7</xdr:col>
      <xdr:colOff>451147</xdr:colOff>
      <xdr:row>42</xdr:row>
      <xdr:rowOff>104469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6095F0A9-DF9F-4AF5-B42D-68D6F451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5565" y="7663017"/>
          <a:ext cx="315953" cy="190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122904</xdr:colOff>
      <xdr:row>41</xdr:row>
      <xdr:rowOff>98322</xdr:rowOff>
    </xdr:from>
    <xdr:to>
      <xdr:col>8</xdr:col>
      <xdr:colOff>448597</xdr:colOff>
      <xdr:row>42</xdr:row>
      <xdr:rowOff>96553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75ABDE82-EB0A-4E44-B142-F08CCDAA2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1646" y="7663016"/>
          <a:ext cx="325693" cy="182585"/>
        </a:xfrm>
        <a:prstGeom prst="rect">
          <a:avLst/>
        </a:prstGeom>
      </xdr:spPr>
    </xdr:pic>
    <xdr:clientData/>
  </xdr:twoCellAnchor>
  <xdr:twoCellAnchor editAs="oneCell">
    <xdr:from>
      <xdr:col>9</xdr:col>
      <xdr:colOff>6147</xdr:colOff>
      <xdr:row>41</xdr:row>
      <xdr:rowOff>122903</xdr:rowOff>
    </xdr:from>
    <xdr:to>
      <xdr:col>9</xdr:col>
      <xdr:colOff>694404</xdr:colOff>
      <xdr:row>42</xdr:row>
      <xdr:rowOff>131068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504E19E-9059-4EA6-B41F-914622D65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260" y="7687597"/>
          <a:ext cx="688257" cy="192519"/>
        </a:xfrm>
        <a:prstGeom prst="rect">
          <a:avLst/>
        </a:prstGeom>
      </xdr:spPr>
    </xdr:pic>
    <xdr:clientData/>
  </xdr:twoCellAnchor>
  <xdr:twoCellAnchor editAs="oneCell">
    <xdr:from>
      <xdr:col>9</xdr:col>
      <xdr:colOff>18436</xdr:colOff>
      <xdr:row>9</xdr:row>
      <xdr:rowOff>86032</xdr:rowOff>
    </xdr:from>
    <xdr:to>
      <xdr:col>9</xdr:col>
      <xdr:colOff>682113</xdr:colOff>
      <xdr:row>10</xdr:row>
      <xdr:rowOff>87322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807B0CD-7B21-4CB3-B434-CBF516DB5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5549" y="1745226"/>
          <a:ext cx="663677" cy="185644"/>
        </a:xfrm>
        <a:prstGeom prst="rect">
          <a:avLst/>
        </a:prstGeom>
      </xdr:spPr>
    </xdr:pic>
    <xdr:clientData/>
  </xdr:twoCellAnchor>
  <xdr:twoCellAnchor editAs="oneCell">
    <xdr:from>
      <xdr:col>10</xdr:col>
      <xdr:colOff>208936</xdr:colOff>
      <xdr:row>41</xdr:row>
      <xdr:rowOff>129048</xdr:rowOff>
    </xdr:from>
    <xdr:to>
      <xdr:col>10</xdr:col>
      <xdr:colOff>445524</xdr:colOff>
      <xdr:row>42</xdr:row>
      <xdr:rowOff>147484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69F0A18-A84D-4DF4-8847-CE5E9AE6D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0452" y="7693742"/>
          <a:ext cx="236588" cy="202790"/>
        </a:xfrm>
        <a:prstGeom prst="rect">
          <a:avLst/>
        </a:prstGeom>
      </xdr:spPr>
    </xdr:pic>
    <xdr:clientData/>
  </xdr:twoCellAnchor>
  <xdr:twoCellAnchor editAs="oneCell">
    <xdr:from>
      <xdr:col>10</xdr:col>
      <xdr:colOff>178210</xdr:colOff>
      <xdr:row>9</xdr:row>
      <xdr:rowOff>104467</xdr:rowOff>
    </xdr:from>
    <xdr:to>
      <xdr:col>10</xdr:col>
      <xdr:colOff>400460</xdr:colOff>
      <xdr:row>10</xdr:row>
      <xdr:rowOff>110613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FA74AC8-AAC3-4A47-AF8E-89652444F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9726" y="1763661"/>
          <a:ext cx="222250" cy="190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165919</xdr:colOff>
      <xdr:row>9</xdr:row>
      <xdr:rowOff>104469</xdr:rowOff>
    </xdr:from>
    <xdr:to>
      <xdr:col>11</xdr:col>
      <xdr:colOff>442451</xdr:colOff>
      <xdr:row>10</xdr:row>
      <xdr:rowOff>90289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EC6FE21B-9F8F-4E03-84F0-24F0A87D5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5806" y="1763663"/>
          <a:ext cx="276532" cy="170174"/>
        </a:xfrm>
        <a:prstGeom prst="rect">
          <a:avLst/>
        </a:prstGeom>
      </xdr:spPr>
    </xdr:pic>
    <xdr:clientData/>
  </xdr:twoCellAnchor>
  <xdr:twoCellAnchor editAs="oneCell">
    <xdr:from>
      <xdr:col>11</xdr:col>
      <xdr:colOff>147484</xdr:colOff>
      <xdr:row>41</xdr:row>
      <xdr:rowOff>129049</xdr:rowOff>
    </xdr:from>
    <xdr:to>
      <xdr:col>11</xdr:col>
      <xdr:colOff>424016</xdr:colOff>
      <xdr:row>42</xdr:row>
      <xdr:rowOff>114869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41F154-CE32-44C9-82C6-9B65366CA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7371" y="7693743"/>
          <a:ext cx="276532" cy="170174"/>
        </a:xfrm>
        <a:prstGeom prst="rect">
          <a:avLst/>
        </a:prstGeom>
      </xdr:spPr>
    </xdr:pic>
    <xdr:clientData/>
  </xdr:twoCellAnchor>
  <xdr:twoCellAnchor editAs="oneCell">
    <xdr:from>
      <xdr:col>12</xdr:col>
      <xdr:colOff>165920</xdr:colOff>
      <xdr:row>41</xdr:row>
      <xdr:rowOff>104467</xdr:rowOff>
    </xdr:from>
    <xdr:to>
      <xdr:col>12</xdr:col>
      <xdr:colOff>459736</xdr:colOff>
      <xdr:row>42</xdr:row>
      <xdr:rowOff>104468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6D8E66E3-EAFB-4483-A8D4-E029C525A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4178" y="7669161"/>
          <a:ext cx="293816" cy="184355"/>
        </a:xfrm>
        <a:prstGeom prst="rect">
          <a:avLst/>
        </a:prstGeom>
      </xdr:spPr>
    </xdr:pic>
    <xdr:clientData/>
  </xdr:twoCellAnchor>
  <xdr:twoCellAnchor editAs="oneCell">
    <xdr:from>
      <xdr:col>12</xdr:col>
      <xdr:colOff>172065</xdr:colOff>
      <xdr:row>9</xdr:row>
      <xdr:rowOff>104468</xdr:rowOff>
    </xdr:from>
    <xdr:to>
      <xdr:col>12</xdr:col>
      <xdr:colOff>442452</xdr:colOff>
      <xdr:row>10</xdr:row>
      <xdr:rowOff>89768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B091D9DB-5DD7-4FE7-A0CB-D3447399B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0323" y="1763662"/>
          <a:ext cx="270387" cy="169654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9</xdr:row>
      <xdr:rowOff>86032</xdr:rowOff>
    </xdr:from>
    <xdr:to>
      <xdr:col>13</xdr:col>
      <xdr:colOff>380122</xdr:colOff>
      <xdr:row>10</xdr:row>
      <xdr:rowOff>67597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679DE828-DFF3-4892-AFFE-ABF4370E6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7129" y="1745226"/>
          <a:ext cx="189622" cy="165919"/>
        </a:xfrm>
        <a:prstGeom prst="rect">
          <a:avLst/>
        </a:prstGeom>
      </xdr:spPr>
    </xdr:pic>
    <xdr:clientData/>
  </xdr:twoCellAnchor>
  <xdr:twoCellAnchor editAs="oneCell">
    <xdr:from>
      <xdr:col>13</xdr:col>
      <xdr:colOff>202791</xdr:colOff>
      <xdr:row>41</xdr:row>
      <xdr:rowOff>116758</xdr:rowOff>
    </xdr:from>
    <xdr:to>
      <xdr:col>13</xdr:col>
      <xdr:colOff>374855</xdr:colOff>
      <xdr:row>42</xdr:row>
      <xdr:rowOff>82960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D041E9F2-8CFA-479B-8751-3CAA82FE5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9420" y="7681452"/>
          <a:ext cx="172064" cy="150556"/>
        </a:xfrm>
        <a:prstGeom prst="rect">
          <a:avLst/>
        </a:prstGeom>
      </xdr:spPr>
    </xdr:pic>
    <xdr:clientData/>
  </xdr:twoCellAnchor>
  <xdr:twoCellAnchor>
    <xdr:from>
      <xdr:col>23</xdr:col>
      <xdr:colOff>362564</xdr:colOff>
      <xdr:row>0</xdr:row>
      <xdr:rowOff>49160</xdr:rowOff>
    </xdr:from>
    <xdr:to>
      <xdr:col>30</xdr:col>
      <xdr:colOff>150395</xdr:colOff>
      <xdr:row>91</xdr:row>
      <xdr:rowOff>3880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2169B77D-A4F6-44D3-824F-06FE9EDFE802}"/>
            </a:ext>
          </a:extLst>
        </xdr:cNvPr>
        <xdr:cNvSpPr txBox="1"/>
      </xdr:nvSpPr>
      <xdr:spPr>
        <a:xfrm>
          <a:off x="16815748" y="49160"/>
          <a:ext cx="4069068" cy="163878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2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Determinação dos erros:</a:t>
          </a:r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200" baseline="0">
            <a:latin typeface="Cambria Math" panose="02040503050406030204" pitchFamily="18" charset="0"/>
            <a:ea typeface="Cambria Math" panose="020405030504060302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2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Durante a realização da experiência a leitura do nónio foi efetuada por 3 alunos diferentes, logo a</a:t>
          </a:r>
          <a:r>
            <a:rPr lang="pt-PT" sz="1200" baseline="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 dispersão </a:t>
          </a:r>
          <a:r>
            <a:rPr lang="pt-PT" sz="12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dos valores do nónio diz nos uma incerteza</a:t>
          </a:r>
          <a:r>
            <a:rPr lang="pt-PT" sz="1200" baseline="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 associada ao </a:t>
          </a:r>
          <a:r>
            <a:rPr lang="pt-PT" sz="12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mesmo.</a:t>
          </a:r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2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A partir do erro do nónio, podemos obter a incerteza associada ao angulo com correção do nónio:</a:t>
          </a:r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r>
            <a:rPr lang="pt-PT" sz="1200" baseline="0">
              <a:latin typeface="Cambria Math" panose="02040503050406030204" pitchFamily="18" charset="0"/>
              <a:ea typeface="Cambria Math" panose="02040503050406030204" pitchFamily="18" charset="0"/>
            </a:rPr>
            <a:t>De seguida podemos calcular o erro associado ao angulo de difração de ordem m:</a:t>
          </a:r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2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A incerteza do comprimento de onda será:</a:t>
          </a:r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100" baseline="0"/>
        </a:p>
        <a:p>
          <a:endParaRPr lang="pt-PT" sz="1200" baseline="0">
            <a:latin typeface="Cambria Math" panose="02040503050406030204" pitchFamily="18" charset="0"/>
            <a:ea typeface="Cambria Math" panose="020405030504060302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200">
              <a:solidFill>
                <a:schemeClr val="dk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Para além da incerteza de leitura do nónio, há uma imprecisão na medição da risca em que quanto maior a intensidade maior a imprecisão, que também afeta diretamente o valor do comprimento de onda. Quanto maior a intensidade maior é essa imprecisão, como  ilustrado a baixo:</a:t>
          </a:r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  <a:p>
          <a:endParaRPr lang="pt-PT" sz="1100"/>
        </a:p>
      </xdr:txBody>
    </xdr:sp>
    <xdr:clientData/>
  </xdr:twoCellAnchor>
  <xdr:twoCellAnchor editAs="oneCell">
    <xdr:from>
      <xdr:col>14</xdr:col>
      <xdr:colOff>215081</xdr:colOff>
      <xdr:row>9</xdr:row>
      <xdr:rowOff>116759</xdr:rowOff>
    </xdr:from>
    <xdr:to>
      <xdr:col>14</xdr:col>
      <xdr:colOff>390656</xdr:colOff>
      <xdr:row>10</xdr:row>
      <xdr:rowOff>86033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881111AE-0D9B-44EE-BDB7-54DF94015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0194" y="1775953"/>
          <a:ext cx="175575" cy="153628"/>
        </a:xfrm>
        <a:prstGeom prst="rect">
          <a:avLst/>
        </a:prstGeom>
      </xdr:spPr>
    </xdr:pic>
    <xdr:clientData/>
  </xdr:twoCellAnchor>
  <xdr:twoCellAnchor editAs="oneCell">
    <xdr:from>
      <xdr:col>14</xdr:col>
      <xdr:colOff>202791</xdr:colOff>
      <xdr:row>41</xdr:row>
      <xdr:rowOff>92178</xdr:rowOff>
    </xdr:from>
    <xdr:to>
      <xdr:col>14</xdr:col>
      <xdr:colOff>385390</xdr:colOff>
      <xdr:row>42</xdr:row>
      <xdr:rowOff>67598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3E53D640-8BF1-4D76-84D6-A78E6158C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7904" y="7656872"/>
          <a:ext cx="182599" cy="159774"/>
        </a:xfrm>
        <a:prstGeom prst="rect">
          <a:avLst/>
        </a:prstGeom>
      </xdr:spPr>
    </xdr:pic>
    <xdr:clientData/>
  </xdr:twoCellAnchor>
  <xdr:twoCellAnchor editAs="oneCell">
    <xdr:from>
      <xdr:col>15</xdr:col>
      <xdr:colOff>86033</xdr:colOff>
      <xdr:row>41</xdr:row>
      <xdr:rowOff>43016</xdr:rowOff>
    </xdr:from>
    <xdr:to>
      <xdr:col>15</xdr:col>
      <xdr:colOff>657533</xdr:colOff>
      <xdr:row>42</xdr:row>
      <xdr:rowOff>160587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96AF7E92-2DB4-4D36-8896-3D999F2B6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5662" y="7607710"/>
          <a:ext cx="571500" cy="301925"/>
        </a:xfrm>
        <a:prstGeom prst="rect">
          <a:avLst/>
        </a:prstGeom>
      </xdr:spPr>
    </xdr:pic>
    <xdr:clientData/>
  </xdr:twoCellAnchor>
  <xdr:twoCellAnchor editAs="oneCell">
    <xdr:from>
      <xdr:col>15</xdr:col>
      <xdr:colOff>73743</xdr:colOff>
      <xdr:row>9</xdr:row>
      <xdr:rowOff>30727</xdr:rowOff>
    </xdr:from>
    <xdr:to>
      <xdr:col>15</xdr:col>
      <xdr:colOff>669823</xdr:colOff>
      <xdr:row>10</xdr:row>
      <xdr:rowOff>161283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ADF82D89-D88A-4024-AA8D-4A1B84662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3372" y="1689921"/>
          <a:ext cx="596080" cy="314910"/>
        </a:xfrm>
        <a:prstGeom prst="rect">
          <a:avLst/>
        </a:prstGeom>
      </xdr:spPr>
    </xdr:pic>
    <xdr:clientData/>
  </xdr:twoCellAnchor>
  <xdr:twoCellAnchor editAs="oneCell">
    <xdr:from>
      <xdr:col>23</xdr:col>
      <xdr:colOff>363543</xdr:colOff>
      <xdr:row>52</xdr:row>
      <xdr:rowOff>20167</xdr:rowOff>
    </xdr:from>
    <xdr:to>
      <xdr:col>30</xdr:col>
      <xdr:colOff>139959</xdr:colOff>
      <xdr:row>55</xdr:row>
      <xdr:rowOff>70966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5BFD489-74C9-4160-B1EB-D01F59620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380" y="9731779"/>
          <a:ext cx="4021844" cy="610636"/>
        </a:xfrm>
        <a:prstGeom prst="rect">
          <a:avLst/>
        </a:prstGeom>
      </xdr:spPr>
    </xdr:pic>
    <xdr:clientData/>
  </xdr:twoCellAnchor>
  <xdr:twoCellAnchor>
    <xdr:from>
      <xdr:col>27</xdr:col>
      <xdr:colOff>424872</xdr:colOff>
      <xdr:row>53</xdr:row>
      <xdr:rowOff>110836</xdr:rowOff>
    </xdr:from>
    <xdr:to>
      <xdr:col>28</xdr:col>
      <xdr:colOff>133927</xdr:colOff>
      <xdr:row>55</xdr:row>
      <xdr:rowOff>55418</xdr:rowOff>
    </xdr:to>
    <xdr:sp macro="" textlink="">
      <xdr:nvSpPr>
        <xdr:cNvPr id="32" name="Fluxograma: Ou 31">
          <a:extLst>
            <a:ext uri="{FF2B5EF4-FFF2-40B4-BE49-F238E27FC236}">
              <a16:creationId xmlns:a16="http://schemas.microsoft.com/office/drawing/2014/main" id="{84159E6E-C321-43DC-B9E7-826B4928A55D}"/>
            </a:ext>
          </a:extLst>
        </xdr:cNvPr>
        <xdr:cNvSpPr/>
      </xdr:nvSpPr>
      <xdr:spPr>
        <a:xfrm>
          <a:off x="19294763" y="9906000"/>
          <a:ext cx="318655" cy="314036"/>
        </a:xfrm>
        <a:prstGeom prst="flowChartOr">
          <a:avLst/>
        </a:prstGeom>
        <a:noFill/>
        <a:ln w="317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25</xdr:col>
      <xdr:colOff>373224</xdr:colOff>
      <xdr:row>14</xdr:row>
      <xdr:rowOff>46652</xdr:rowOff>
    </xdr:from>
    <xdr:to>
      <xdr:col>28</xdr:col>
      <xdr:colOff>55024</xdr:colOff>
      <xdr:row>16</xdr:row>
      <xdr:rowOff>138288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F7DFE4D-67A7-477B-815C-9CCB04D55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4040" y="2666999"/>
          <a:ext cx="1501270" cy="464860"/>
        </a:xfrm>
        <a:prstGeom prst="rect">
          <a:avLst/>
        </a:prstGeom>
      </xdr:spPr>
    </xdr:pic>
    <xdr:clientData/>
  </xdr:twoCellAnchor>
  <xdr:twoCellAnchor editAs="oneCell">
    <xdr:from>
      <xdr:col>17</xdr:col>
      <xdr:colOff>544286</xdr:colOff>
      <xdr:row>0</xdr:row>
      <xdr:rowOff>171061</xdr:rowOff>
    </xdr:from>
    <xdr:to>
      <xdr:col>23</xdr:col>
      <xdr:colOff>220334</xdr:colOff>
      <xdr:row>16</xdr:row>
      <xdr:rowOff>12376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5F6B8E45-B437-4E55-B320-1C451D022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3184" y="171061"/>
          <a:ext cx="3314987" cy="2834886"/>
        </a:xfrm>
        <a:prstGeom prst="rect">
          <a:avLst/>
        </a:prstGeom>
      </xdr:spPr>
    </xdr:pic>
    <xdr:clientData/>
  </xdr:twoCellAnchor>
  <xdr:twoCellAnchor editAs="oneCell">
    <xdr:from>
      <xdr:col>25</xdr:col>
      <xdr:colOff>194389</xdr:colOff>
      <xdr:row>2</xdr:row>
      <xdr:rowOff>1</xdr:rowOff>
    </xdr:from>
    <xdr:to>
      <xdr:col>30</xdr:col>
      <xdr:colOff>62206</xdr:colOff>
      <xdr:row>8</xdr:row>
      <xdr:rowOff>163000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9A6F588C-C262-406F-A305-2CB8D1104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5205" y="373225"/>
          <a:ext cx="2900266" cy="1282673"/>
        </a:xfrm>
        <a:prstGeom prst="rect">
          <a:avLst/>
        </a:prstGeom>
      </xdr:spPr>
    </xdr:pic>
    <xdr:clientData/>
  </xdr:twoCellAnchor>
  <xdr:twoCellAnchor editAs="oneCell">
    <xdr:from>
      <xdr:col>25</xdr:col>
      <xdr:colOff>505409</xdr:colOff>
      <xdr:row>22</xdr:row>
      <xdr:rowOff>0</xdr:rowOff>
    </xdr:from>
    <xdr:to>
      <xdr:col>27</xdr:col>
      <xdr:colOff>458390</xdr:colOff>
      <xdr:row>26</xdr:row>
      <xdr:rowOff>53720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E0F27F41-CB89-418F-84BA-831890FC2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6225" y="4113245"/>
          <a:ext cx="1165961" cy="800169"/>
        </a:xfrm>
        <a:prstGeom prst="rect">
          <a:avLst/>
        </a:prstGeom>
      </xdr:spPr>
    </xdr:pic>
    <xdr:clientData/>
  </xdr:twoCellAnchor>
  <xdr:twoCellAnchor editAs="oneCell">
    <xdr:from>
      <xdr:col>24</xdr:col>
      <xdr:colOff>334346</xdr:colOff>
      <xdr:row>30</xdr:row>
      <xdr:rowOff>85530</xdr:rowOff>
    </xdr:from>
    <xdr:to>
      <xdr:col>29</xdr:col>
      <xdr:colOff>60576</xdr:colOff>
      <xdr:row>36</xdr:row>
      <xdr:rowOff>9887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4EBE49F-B656-491E-A71E-6D4883BB7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8673" y="5691673"/>
          <a:ext cx="2758679" cy="1044030"/>
        </a:xfrm>
        <a:prstGeom prst="rect">
          <a:avLst/>
        </a:prstGeom>
      </xdr:spPr>
    </xdr:pic>
    <xdr:clientData/>
  </xdr:twoCellAnchor>
  <xdr:twoCellAnchor editAs="oneCell">
    <xdr:from>
      <xdr:col>25</xdr:col>
      <xdr:colOff>93306</xdr:colOff>
      <xdr:row>39</xdr:row>
      <xdr:rowOff>46653</xdr:rowOff>
    </xdr:from>
    <xdr:to>
      <xdr:col>28</xdr:col>
      <xdr:colOff>270449</xdr:colOff>
      <xdr:row>44</xdr:row>
      <xdr:rowOff>150002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A5F67658-D3FF-42E7-93C1-254E87840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4122" y="7332306"/>
          <a:ext cx="1996613" cy="10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191238</xdr:colOff>
      <xdr:row>9</xdr:row>
      <xdr:rowOff>10817</xdr:rowOff>
    </xdr:from>
    <xdr:to>
      <xdr:col>3</xdr:col>
      <xdr:colOff>351011</xdr:colOff>
      <xdr:row>9</xdr:row>
      <xdr:rowOff>166875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5EBEDD8-C054-4974-9002-B6C646AF7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038" y="1656737"/>
          <a:ext cx="159773" cy="156058"/>
        </a:xfrm>
        <a:prstGeom prst="rect">
          <a:avLst/>
        </a:prstGeom>
      </xdr:spPr>
    </xdr:pic>
    <xdr:clientData/>
  </xdr:twoCellAnchor>
  <xdr:twoCellAnchor editAs="oneCell">
    <xdr:from>
      <xdr:col>6</xdr:col>
      <xdr:colOff>141340</xdr:colOff>
      <xdr:row>8</xdr:row>
      <xdr:rowOff>116758</xdr:rowOff>
    </xdr:from>
    <xdr:to>
      <xdr:col>6</xdr:col>
      <xdr:colOff>313403</xdr:colOff>
      <xdr:row>9</xdr:row>
      <xdr:rowOff>95166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824174-4ACF-47B6-8DC3-A144E24AA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8020" y="1762678"/>
          <a:ext cx="172063" cy="161288"/>
        </a:xfrm>
        <a:prstGeom prst="rect">
          <a:avLst/>
        </a:prstGeom>
      </xdr:spPr>
    </xdr:pic>
    <xdr:clientData/>
  </xdr:twoCellAnchor>
  <xdr:twoCellAnchor editAs="oneCell">
    <xdr:from>
      <xdr:col>7</xdr:col>
      <xdr:colOff>79888</xdr:colOff>
      <xdr:row>8</xdr:row>
      <xdr:rowOff>104467</xdr:rowOff>
    </xdr:from>
    <xdr:to>
      <xdr:col>7</xdr:col>
      <xdr:colOff>319549</xdr:colOff>
      <xdr:row>9</xdr:row>
      <xdr:rowOff>88386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E667A8E-BAF8-490D-9361-EF7E3E09F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4268" y="1750387"/>
          <a:ext cx="239661" cy="166799"/>
        </a:xfrm>
        <a:prstGeom prst="rect">
          <a:avLst/>
        </a:prstGeom>
      </xdr:spPr>
    </xdr:pic>
    <xdr:clientData/>
  </xdr:twoCellAnchor>
  <xdr:twoCellAnchor editAs="oneCell">
    <xdr:from>
      <xdr:col>7</xdr:col>
      <xdr:colOff>129048</xdr:colOff>
      <xdr:row>40</xdr:row>
      <xdr:rowOff>122903</xdr:rowOff>
    </xdr:from>
    <xdr:to>
      <xdr:col>7</xdr:col>
      <xdr:colOff>319547</xdr:colOff>
      <xdr:row>41</xdr:row>
      <xdr:rowOff>79887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6699E3E-144D-4894-9E6B-A440299A3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428" y="7628603"/>
          <a:ext cx="190499" cy="139864"/>
        </a:xfrm>
        <a:prstGeom prst="rect">
          <a:avLst/>
        </a:prstGeom>
      </xdr:spPr>
    </xdr:pic>
    <xdr:clientData/>
  </xdr:twoCellAnchor>
  <xdr:twoCellAnchor editAs="oneCell">
    <xdr:from>
      <xdr:col>6</xdr:col>
      <xdr:colOff>153628</xdr:colOff>
      <xdr:row>40</xdr:row>
      <xdr:rowOff>110613</xdr:rowOff>
    </xdr:from>
    <xdr:to>
      <xdr:col>6</xdr:col>
      <xdr:colOff>313403</xdr:colOff>
      <xdr:row>41</xdr:row>
      <xdr:rowOff>72141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AF53B90-D19B-4AE1-87D5-781C164E3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0308" y="7616313"/>
          <a:ext cx="159775" cy="144408"/>
        </a:xfrm>
        <a:prstGeom prst="rect">
          <a:avLst/>
        </a:prstGeom>
      </xdr:spPr>
    </xdr:pic>
    <xdr:clientData/>
  </xdr:twoCellAnchor>
  <xdr:twoCellAnchor editAs="oneCell">
    <xdr:from>
      <xdr:col>3</xdr:col>
      <xdr:colOff>251951</xdr:colOff>
      <xdr:row>41</xdr:row>
      <xdr:rowOff>18436</xdr:rowOff>
    </xdr:from>
    <xdr:to>
      <xdr:col>3</xdr:col>
      <xdr:colOff>393290</xdr:colOff>
      <xdr:row>41</xdr:row>
      <xdr:rowOff>159775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167CB1B-65CA-4F1B-8966-EB2AF5757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0811" y="7707016"/>
          <a:ext cx="141339" cy="141339"/>
        </a:xfrm>
        <a:prstGeom prst="rect">
          <a:avLst/>
        </a:prstGeom>
      </xdr:spPr>
    </xdr:pic>
    <xdr:clientData/>
  </xdr:twoCellAnchor>
  <xdr:twoCellAnchor editAs="oneCell">
    <xdr:from>
      <xdr:col>8</xdr:col>
      <xdr:colOff>122904</xdr:colOff>
      <xdr:row>8</xdr:row>
      <xdr:rowOff>92178</xdr:rowOff>
    </xdr:from>
    <xdr:to>
      <xdr:col>8</xdr:col>
      <xdr:colOff>479622</xdr:colOff>
      <xdr:row>9</xdr:row>
      <xdr:rowOff>122904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FC1E7FB7-9380-40C0-B486-42FB453A3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4504" y="1738098"/>
          <a:ext cx="356718" cy="213606"/>
        </a:xfrm>
        <a:prstGeom prst="rect">
          <a:avLst/>
        </a:prstGeom>
      </xdr:spPr>
    </xdr:pic>
    <xdr:clientData/>
  </xdr:twoCellAnchor>
  <xdr:twoCellAnchor editAs="oneCell">
    <xdr:from>
      <xdr:col>9</xdr:col>
      <xdr:colOff>129048</xdr:colOff>
      <xdr:row>8</xdr:row>
      <xdr:rowOff>104467</xdr:rowOff>
    </xdr:from>
    <xdr:to>
      <xdr:col>9</xdr:col>
      <xdr:colOff>457897</xdr:colOff>
      <xdr:row>9</xdr:row>
      <xdr:rowOff>104467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8C25A62-EFE7-41E7-A043-AC54BB72B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0248" y="1750387"/>
          <a:ext cx="328849" cy="182880"/>
        </a:xfrm>
        <a:prstGeom prst="rect">
          <a:avLst/>
        </a:prstGeom>
      </xdr:spPr>
    </xdr:pic>
    <xdr:clientData/>
  </xdr:twoCellAnchor>
  <xdr:twoCellAnchor editAs="oneCell">
    <xdr:from>
      <xdr:col>8</xdr:col>
      <xdr:colOff>135194</xdr:colOff>
      <xdr:row>40</xdr:row>
      <xdr:rowOff>98323</xdr:rowOff>
    </xdr:from>
    <xdr:to>
      <xdr:col>8</xdr:col>
      <xdr:colOff>451147</xdr:colOff>
      <xdr:row>41</xdr:row>
      <xdr:rowOff>104469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E62FEC1-BED7-48A2-BF21-D88FE709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6794" y="7604023"/>
          <a:ext cx="315953" cy="189026"/>
        </a:xfrm>
        <a:prstGeom prst="rect">
          <a:avLst/>
        </a:prstGeom>
      </xdr:spPr>
    </xdr:pic>
    <xdr:clientData/>
  </xdr:twoCellAnchor>
  <xdr:twoCellAnchor editAs="oneCell">
    <xdr:from>
      <xdr:col>9</xdr:col>
      <xdr:colOff>122904</xdr:colOff>
      <xdr:row>40</xdr:row>
      <xdr:rowOff>98322</xdr:rowOff>
    </xdr:from>
    <xdr:to>
      <xdr:col>9</xdr:col>
      <xdr:colOff>448597</xdr:colOff>
      <xdr:row>41</xdr:row>
      <xdr:rowOff>96553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87D3111-94A7-4930-B8CD-FD78C49DF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4104" y="7604022"/>
          <a:ext cx="325693" cy="181111"/>
        </a:xfrm>
        <a:prstGeom prst="rect">
          <a:avLst/>
        </a:prstGeom>
      </xdr:spPr>
    </xdr:pic>
    <xdr:clientData/>
  </xdr:twoCellAnchor>
  <xdr:twoCellAnchor editAs="oneCell">
    <xdr:from>
      <xdr:col>10</xdr:col>
      <xdr:colOff>6147</xdr:colOff>
      <xdr:row>40</xdr:row>
      <xdr:rowOff>122903</xdr:rowOff>
    </xdr:from>
    <xdr:to>
      <xdr:col>10</xdr:col>
      <xdr:colOff>694404</xdr:colOff>
      <xdr:row>41</xdr:row>
      <xdr:rowOff>131068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D1293FA-4F4B-4DB5-ABDB-62C0A64E0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6947" y="7628603"/>
          <a:ext cx="688257" cy="191045"/>
        </a:xfrm>
        <a:prstGeom prst="rect">
          <a:avLst/>
        </a:prstGeom>
      </xdr:spPr>
    </xdr:pic>
    <xdr:clientData/>
  </xdr:twoCellAnchor>
  <xdr:twoCellAnchor editAs="oneCell">
    <xdr:from>
      <xdr:col>10</xdr:col>
      <xdr:colOff>41296</xdr:colOff>
      <xdr:row>8</xdr:row>
      <xdr:rowOff>86032</xdr:rowOff>
    </xdr:from>
    <xdr:to>
      <xdr:col>10</xdr:col>
      <xdr:colOff>704973</xdr:colOff>
      <xdr:row>9</xdr:row>
      <xdr:rowOff>87322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3C8371B6-2D98-4F59-872A-722B7E60A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6896" y="1549072"/>
          <a:ext cx="663677" cy="184170"/>
        </a:xfrm>
        <a:prstGeom prst="rect">
          <a:avLst/>
        </a:prstGeom>
      </xdr:spPr>
    </xdr:pic>
    <xdr:clientData/>
  </xdr:twoCellAnchor>
  <xdr:twoCellAnchor editAs="oneCell">
    <xdr:from>
      <xdr:col>11</xdr:col>
      <xdr:colOff>208936</xdr:colOff>
      <xdr:row>40</xdr:row>
      <xdr:rowOff>129048</xdr:rowOff>
    </xdr:from>
    <xdr:to>
      <xdr:col>11</xdr:col>
      <xdr:colOff>445524</xdr:colOff>
      <xdr:row>41</xdr:row>
      <xdr:rowOff>147484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BEE94B0-6C0A-4961-AF5D-126CD2803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0776" y="7634748"/>
          <a:ext cx="236588" cy="201316"/>
        </a:xfrm>
        <a:prstGeom prst="rect">
          <a:avLst/>
        </a:prstGeom>
      </xdr:spPr>
    </xdr:pic>
    <xdr:clientData/>
  </xdr:twoCellAnchor>
  <xdr:twoCellAnchor editAs="oneCell">
    <xdr:from>
      <xdr:col>11</xdr:col>
      <xdr:colOff>178210</xdr:colOff>
      <xdr:row>8</xdr:row>
      <xdr:rowOff>104467</xdr:rowOff>
    </xdr:from>
    <xdr:to>
      <xdr:col>11</xdr:col>
      <xdr:colOff>400460</xdr:colOff>
      <xdr:row>9</xdr:row>
      <xdr:rowOff>110613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EA9CB32-3C56-4581-A12E-CF5938D1A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0050" y="1750387"/>
          <a:ext cx="222250" cy="189026"/>
        </a:xfrm>
        <a:prstGeom prst="rect">
          <a:avLst/>
        </a:prstGeom>
      </xdr:spPr>
    </xdr:pic>
    <xdr:clientData/>
  </xdr:twoCellAnchor>
  <xdr:twoCellAnchor editAs="oneCell">
    <xdr:from>
      <xdr:col>12</xdr:col>
      <xdr:colOff>165919</xdr:colOff>
      <xdr:row>8</xdr:row>
      <xdr:rowOff>104469</xdr:rowOff>
    </xdr:from>
    <xdr:to>
      <xdr:col>12</xdr:col>
      <xdr:colOff>442451</xdr:colOff>
      <xdr:row>9</xdr:row>
      <xdr:rowOff>90289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82160303-2710-4673-B213-53947FE05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359" y="1750389"/>
          <a:ext cx="276532" cy="168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147484</xdr:colOff>
      <xdr:row>40</xdr:row>
      <xdr:rowOff>129049</xdr:rowOff>
    </xdr:from>
    <xdr:to>
      <xdr:col>12</xdr:col>
      <xdr:colOff>424016</xdr:colOff>
      <xdr:row>41</xdr:row>
      <xdr:rowOff>114869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BD9FBAAA-3BA1-43CE-81B3-1B3AF407A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924" y="7634749"/>
          <a:ext cx="276532" cy="168700"/>
        </a:xfrm>
        <a:prstGeom prst="rect">
          <a:avLst/>
        </a:prstGeom>
      </xdr:spPr>
    </xdr:pic>
    <xdr:clientData/>
  </xdr:twoCellAnchor>
  <xdr:twoCellAnchor editAs="oneCell">
    <xdr:from>
      <xdr:col>13</xdr:col>
      <xdr:colOff>165920</xdr:colOff>
      <xdr:row>40</xdr:row>
      <xdr:rowOff>104467</xdr:rowOff>
    </xdr:from>
    <xdr:to>
      <xdr:col>13</xdr:col>
      <xdr:colOff>459736</xdr:colOff>
      <xdr:row>41</xdr:row>
      <xdr:rowOff>104468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74326D95-9A27-4544-827B-0BAE8B2A2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1240" y="7610167"/>
          <a:ext cx="293816" cy="182881"/>
        </a:xfrm>
        <a:prstGeom prst="rect">
          <a:avLst/>
        </a:prstGeom>
      </xdr:spPr>
    </xdr:pic>
    <xdr:clientData/>
  </xdr:twoCellAnchor>
  <xdr:twoCellAnchor editAs="oneCell">
    <xdr:from>
      <xdr:col>13</xdr:col>
      <xdr:colOff>172065</xdr:colOff>
      <xdr:row>8</xdr:row>
      <xdr:rowOff>104468</xdr:rowOff>
    </xdr:from>
    <xdr:to>
      <xdr:col>13</xdr:col>
      <xdr:colOff>442452</xdr:colOff>
      <xdr:row>9</xdr:row>
      <xdr:rowOff>89768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7E6A7915-2C2A-45BF-A976-78471208D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7385" y="1750388"/>
          <a:ext cx="270387" cy="16818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8</xdr:row>
      <xdr:rowOff>86032</xdr:rowOff>
    </xdr:from>
    <xdr:to>
      <xdr:col>14</xdr:col>
      <xdr:colOff>380122</xdr:colOff>
      <xdr:row>9</xdr:row>
      <xdr:rowOff>67597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2ECF90D9-81C1-4B10-B115-7AB47123B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2560" y="1731952"/>
          <a:ext cx="189622" cy="164445"/>
        </a:xfrm>
        <a:prstGeom prst="rect">
          <a:avLst/>
        </a:prstGeom>
      </xdr:spPr>
    </xdr:pic>
    <xdr:clientData/>
  </xdr:twoCellAnchor>
  <xdr:twoCellAnchor editAs="oneCell">
    <xdr:from>
      <xdr:col>14</xdr:col>
      <xdr:colOff>202791</xdr:colOff>
      <xdr:row>40</xdr:row>
      <xdr:rowOff>116758</xdr:rowOff>
    </xdr:from>
    <xdr:to>
      <xdr:col>14</xdr:col>
      <xdr:colOff>374855</xdr:colOff>
      <xdr:row>41</xdr:row>
      <xdr:rowOff>82960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7CFAFDBA-BF61-425B-924F-3734757F2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4851" y="7622458"/>
          <a:ext cx="172064" cy="149082"/>
        </a:xfrm>
        <a:prstGeom prst="rect">
          <a:avLst/>
        </a:prstGeom>
      </xdr:spPr>
    </xdr:pic>
    <xdr:clientData/>
  </xdr:twoCellAnchor>
  <xdr:twoCellAnchor editAs="oneCell">
    <xdr:from>
      <xdr:col>15</xdr:col>
      <xdr:colOff>215081</xdr:colOff>
      <xdr:row>8</xdr:row>
      <xdr:rowOff>116759</xdr:rowOff>
    </xdr:from>
    <xdr:to>
      <xdr:col>15</xdr:col>
      <xdr:colOff>390656</xdr:colOff>
      <xdr:row>9</xdr:row>
      <xdr:rowOff>86033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80FF87D8-B7B4-4466-9ABB-20074250F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1501" y="1762679"/>
          <a:ext cx="175575" cy="152154"/>
        </a:xfrm>
        <a:prstGeom prst="rect">
          <a:avLst/>
        </a:prstGeom>
      </xdr:spPr>
    </xdr:pic>
    <xdr:clientData/>
  </xdr:twoCellAnchor>
  <xdr:twoCellAnchor editAs="oneCell">
    <xdr:from>
      <xdr:col>15</xdr:col>
      <xdr:colOff>202791</xdr:colOff>
      <xdr:row>40</xdr:row>
      <xdr:rowOff>92178</xdr:rowOff>
    </xdr:from>
    <xdr:to>
      <xdr:col>15</xdr:col>
      <xdr:colOff>385390</xdr:colOff>
      <xdr:row>41</xdr:row>
      <xdr:rowOff>67598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68D1DB3-DA46-4C8C-9D34-7C50CAD5A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9211" y="7597878"/>
          <a:ext cx="182599" cy="158300"/>
        </a:xfrm>
        <a:prstGeom prst="rect">
          <a:avLst/>
        </a:prstGeom>
      </xdr:spPr>
    </xdr:pic>
    <xdr:clientData/>
  </xdr:twoCellAnchor>
  <xdr:twoCellAnchor editAs="oneCell">
    <xdr:from>
      <xdr:col>16</xdr:col>
      <xdr:colOff>86033</xdr:colOff>
      <xdr:row>40</xdr:row>
      <xdr:rowOff>43016</xdr:rowOff>
    </xdr:from>
    <xdr:to>
      <xdr:col>16</xdr:col>
      <xdr:colOff>657533</xdr:colOff>
      <xdr:row>41</xdr:row>
      <xdr:rowOff>160587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4E839AFD-5D7F-4974-96E7-C26DEC17A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053" y="7548716"/>
          <a:ext cx="571500" cy="300451"/>
        </a:xfrm>
        <a:prstGeom prst="rect">
          <a:avLst/>
        </a:prstGeom>
      </xdr:spPr>
    </xdr:pic>
    <xdr:clientData/>
  </xdr:twoCellAnchor>
  <xdr:twoCellAnchor editAs="oneCell">
    <xdr:from>
      <xdr:col>16</xdr:col>
      <xdr:colOff>73743</xdr:colOff>
      <xdr:row>8</xdr:row>
      <xdr:rowOff>30727</xdr:rowOff>
    </xdr:from>
    <xdr:to>
      <xdr:col>16</xdr:col>
      <xdr:colOff>669823</xdr:colOff>
      <xdr:row>9</xdr:row>
      <xdr:rowOff>161283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C8207187-215A-45D5-A3D4-D7F8F529A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763" y="1676647"/>
          <a:ext cx="596080" cy="31343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9</xdr:row>
      <xdr:rowOff>38100</xdr:rowOff>
    </xdr:from>
    <xdr:to>
      <xdr:col>5</xdr:col>
      <xdr:colOff>815473</xdr:colOff>
      <xdr:row>11</xdr:row>
      <xdr:rowOff>91440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F9084EFD-6042-4524-A4FD-DD6BCA53C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684020"/>
          <a:ext cx="624973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236220</xdr:colOff>
      <xdr:row>40</xdr:row>
      <xdr:rowOff>38100</xdr:rowOff>
    </xdr:from>
    <xdr:to>
      <xdr:col>5</xdr:col>
      <xdr:colOff>701040</xdr:colOff>
      <xdr:row>41</xdr:row>
      <xdr:rowOff>166923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BF006950-91E3-428A-8A0F-57EAA9893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220" y="7353300"/>
          <a:ext cx="464820" cy="311703"/>
        </a:xfrm>
        <a:prstGeom prst="rect">
          <a:avLst/>
        </a:prstGeom>
      </xdr:spPr>
    </xdr:pic>
    <xdr:clientData/>
  </xdr:twoCellAnchor>
  <xdr:twoCellAnchor>
    <xdr:from>
      <xdr:col>17</xdr:col>
      <xdr:colOff>30480</xdr:colOff>
      <xdr:row>0</xdr:row>
      <xdr:rowOff>38100</xdr:rowOff>
    </xdr:from>
    <xdr:to>
      <xdr:col>22</xdr:col>
      <xdr:colOff>228600</xdr:colOff>
      <xdr:row>19</xdr:row>
      <xdr:rowOff>175260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3D3D69D1-020F-4BD5-B0CF-3592CDADEE70}"/>
                </a:ext>
              </a:extLst>
            </xdr:cNvPr>
            <xdr:cNvSpPr txBox="1"/>
          </xdr:nvSpPr>
          <xdr:spPr>
            <a:xfrm>
              <a:off x="10980420" y="38100"/>
              <a:ext cx="3246120" cy="36118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 valor de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𝜃</m:t>
                      </m:r>
                    </m:e>
                    <m:sub>
                      <m:sSub>
                        <m:sSubPr>
                          <m:ctrlPr>
                            <a:rPr lang="pt-PT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pt-PT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pt-PT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</m:t>
                          </m:r>
                        </m:sub>
                      </m:sSub>
                    </m:sub>
                  </m:sSub>
                </m:oMath>
              </a14:m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e de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𝜃</m:t>
                      </m:r>
                    </m:e>
                    <m:sub>
                      <m:sSub>
                        <m:sSubPr>
                          <m:ctrlPr>
                            <a:rPr lang="pt-PT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pt-PT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pt-PT" sz="120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</m:sub>
                      </m:sSub>
                    </m:sub>
                  </m:sSub>
                </m:oMath>
              </a14:m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para uma mesma ordem em modulo deveria ser a mesma, por isso usando a seguinte expressão: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Observando os resultados obtidos, sabemos que o valor mais correto de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𝜃</m:t>
                      </m:r>
                    </m:e>
                    <m:sub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ordem 0 deve ser 310,8. Por isso estima se um valor para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𝜃</m:t>
                      </m:r>
                    </m:e>
                    <m:sub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de modo a o valor de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𝜃</m:t>
                      </m:r>
                    </m:e>
                    <m:sub>
                      <m:r>
                        <a:rPr lang="pt-PT" sz="12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ser o correspondente.</a:t>
              </a:r>
            </a:p>
            <a:p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Após a correção verifica-se uma coerência maior nos valores obtidos.</a:t>
              </a:r>
            </a:p>
            <a:p>
              <a:endParaRPr lang="pt-PT" sz="1100"/>
            </a:p>
          </xdr:txBody>
        </xdr:sp>
      </mc:Choice>
      <mc:Fallback xmlns="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3D3D69D1-020F-4BD5-B0CF-3592CDADEE70}"/>
                </a:ext>
              </a:extLst>
            </xdr:cNvPr>
            <xdr:cNvSpPr txBox="1"/>
          </xdr:nvSpPr>
          <xdr:spPr>
            <a:xfrm>
              <a:off x="10980420" y="38100"/>
              <a:ext cx="3246120" cy="36118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 valor de 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𝜃_(𝑛_+ )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e de 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𝜃_(𝑛_− )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para uma mesma ordem em modulo deveria ser a mesma, por isso usando a seguinte expressão: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Observando os resultados obtidos, sabemos que o valor mais correto de 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𝜃_𝑛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ordem 0 deve ser 310,8. Por isso estima se um valor para 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𝜃_𝑝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de modo a o valor de </a:t>
              </a:r>
              <a:r>
                <a:rPr lang="pt-PT" sz="12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𝜃_𝑛</a:t>
              </a: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ser o correspondente.</a:t>
              </a:r>
            </a:p>
            <a:p>
              <a:endParaRPr lang="pt-PT" sz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 sz="12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Após a correção verifica-se uma coerência maior nos valores obtidos.</a:t>
              </a:r>
            </a:p>
            <a:p>
              <a:endParaRPr lang="pt-PT" sz="1100"/>
            </a:p>
          </xdr:txBody>
        </xdr:sp>
      </mc:Fallback>
    </mc:AlternateContent>
    <xdr:clientData/>
  </xdr:twoCellAnchor>
  <xdr:twoCellAnchor editAs="oneCell">
    <xdr:from>
      <xdr:col>18</xdr:col>
      <xdr:colOff>137160</xdr:colOff>
      <xdr:row>5</xdr:row>
      <xdr:rowOff>91441</xdr:rowOff>
    </xdr:from>
    <xdr:to>
      <xdr:col>20</xdr:col>
      <xdr:colOff>381270</xdr:colOff>
      <xdr:row>10</xdr:row>
      <xdr:rowOff>121921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DBEC1CF4-3B4C-47D8-B8BB-147410D30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1005841"/>
          <a:ext cx="1463310" cy="944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16" zoomScale="112" zoomScaleNormal="112" workbookViewId="0">
      <selection activeCell="B58" sqref="B5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66"/>
  <sheetViews>
    <sheetView topLeftCell="F1" zoomScaleNormal="100" workbookViewId="0">
      <selection activeCell="H91" sqref="H91"/>
    </sheetView>
  </sheetViews>
  <sheetFormatPr defaultRowHeight="14.4" x14ac:dyDescent="0.3"/>
  <sheetData>
    <row r="3" spans="2:16" x14ac:dyDescent="0.3">
      <c r="B3" t="s">
        <v>15</v>
      </c>
      <c r="O3" s="4"/>
      <c r="P3" s="4"/>
    </row>
    <row r="4" spans="2:16" x14ac:dyDescent="0.3">
      <c r="O4" s="4"/>
      <c r="P4" s="4"/>
    </row>
    <row r="5" spans="2:16" x14ac:dyDescent="0.3">
      <c r="O5" s="4" t="s">
        <v>21</v>
      </c>
      <c r="P5" s="4"/>
    </row>
    <row r="6" spans="2:16" x14ac:dyDescent="0.3">
      <c r="O6" s="5" t="s">
        <v>8</v>
      </c>
      <c r="P6" s="4" t="s">
        <v>23</v>
      </c>
    </row>
    <row r="7" spans="2:16" x14ac:dyDescent="0.3">
      <c r="O7" s="5" t="s">
        <v>14</v>
      </c>
      <c r="P7" s="4" t="s">
        <v>25</v>
      </c>
    </row>
    <row r="8" spans="2:16" x14ac:dyDescent="0.3">
      <c r="O8" s="5" t="s">
        <v>13</v>
      </c>
      <c r="P8" s="4" t="s">
        <v>16</v>
      </c>
    </row>
    <row r="9" spans="2:16" x14ac:dyDescent="0.3">
      <c r="O9" s="5" t="s">
        <v>11</v>
      </c>
      <c r="P9" s="4" t="s">
        <v>24</v>
      </c>
    </row>
    <row r="10" spans="2:16" x14ac:dyDescent="0.3">
      <c r="O10" s="5" t="s">
        <v>12</v>
      </c>
      <c r="P10" s="4" t="s">
        <v>17</v>
      </c>
    </row>
    <row r="11" spans="2:16" x14ac:dyDescent="0.3">
      <c r="O11" s="5"/>
      <c r="P11" s="4"/>
    </row>
    <row r="12" spans="2:16" x14ac:dyDescent="0.3">
      <c r="O12" s="5" t="s">
        <v>10</v>
      </c>
      <c r="P12" s="4" t="s">
        <v>19</v>
      </c>
    </row>
    <row r="13" spans="2:16" x14ac:dyDescent="0.3">
      <c r="O13" s="5" t="s">
        <v>9</v>
      </c>
      <c r="P13" s="4" t="s">
        <v>20</v>
      </c>
    </row>
    <row r="16" spans="2:16" x14ac:dyDescent="0.3">
      <c r="O16" t="s">
        <v>22</v>
      </c>
    </row>
    <row r="39" spans="2:2" ht="15.6" x14ac:dyDescent="0.35">
      <c r="B39" t="s">
        <v>18</v>
      </c>
    </row>
    <row r="66" spans="2:2" x14ac:dyDescent="0.3">
      <c r="B66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99"/>
  <sheetViews>
    <sheetView tabSelected="1" topLeftCell="K61" zoomScale="98" zoomScaleNormal="98" workbookViewId="0">
      <selection activeCell="AG45" sqref="AG45"/>
    </sheetView>
  </sheetViews>
  <sheetFormatPr defaultRowHeight="14.4" x14ac:dyDescent="0.3"/>
  <cols>
    <col min="1" max="1" width="7.44140625" customWidth="1"/>
    <col min="2" max="2" width="17.109375" customWidth="1"/>
    <col min="3" max="3" width="9.109375" style="2"/>
    <col min="4" max="4" width="12.5546875" customWidth="1"/>
    <col min="5" max="5" width="10.88671875" style="2" customWidth="1"/>
    <col min="6" max="6" width="9.44140625" customWidth="1"/>
    <col min="7" max="7" width="9" customWidth="1"/>
    <col min="10" max="10" width="10.21875" customWidth="1"/>
    <col min="12" max="12" width="8.21875" customWidth="1"/>
    <col min="13" max="13" width="8.5546875" customWidth="1"/>
    <col min="14" max="14" width="8.6640625" customWidth="1"/>
    <col min="16" max="16" width="10.88671875" customWidth="1"/>
  </cols>
  <sheetData>
    <row r="2" spans="2:16" x14ac:dyDescent="0.3">
      <c r="C2" s="6"/>
    </row>
    <row r="3" spans="2:16" x14ac:dyDescent="0.3">
      <c r="B3" s="152" t="s">
        <v>30</v>
      </c>
      <c r="C3" s="153"/>
      <c r="D3" s="153"/>
      <c r="E3" s="17">
        <v>600</v>
      </c>
    </row>
    <row r="4" spans="2:16" x14ac:dyDescent="0.3">
      <c r="C4"/>
      <c r="E4"/>
    </row>
    <row r="5" spans="2:16" x14ac:dyDescent="0.3">
      <c r="B5" s="152" t="s">
        <v>31</v>
      </c>
      <c r="C5" s="153"/>
      <c r="D5" s="153"/>
      <c r="E5" s="18">
        <f>(1/(E3))*10^7</f>
        <v>16666.666666666668</v>
      </c>
    </row>
    <row r="7" spans="2:16" x14ac:dyDescent="0.3">
      <c r="B7" s="2"/>
      <c r="D7" s="2"/>
    </row>
    <row r="8" spans="2:16" x14ac:dyDescent="0.3">
      <c r="C8" s="7"/>
    </row>
    <row r="9" spans="2:16" x14ac:dyDescent="0.3">
      <c r="B9" s="33" t="s">
        <v>28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2:16" x14ac:dyDescent="0.3">
      <c r="B10" s="21"/>
      <c r="C10" s="22" t="s">
        <v>32</v>
      </c>
      <c r="D10" s="154" t="s">
        <v>33</v>
      </c>
      <c r="E10" s="154"/>
      <c r="F10" s="161" t="s">
        <v>34</v>
      </c>
      <c r="G10" s="161" t="s">
        <v>34</v>
      </c>
      <c r="H10" s="154"/>
      <c r="I10" s="34"/>
      <c r="J10" s="34"/>
      <c r="K10" s="34"/>
      <c r="L10" s="34"/>
      <c r="M10" s="34"/>
      <c r="N10" s="34"/>
      <c r="O10" s="34"/>
      <c r="P10" s="34"/>
    </row>
    <row r="11" spans="2:16" x14ac:dyDescent="0.3">
      <c r="B11" s="19"/>
      <c r="C11" s="13" t="s">
        <v>1</v>
      </c>
      <c r="D11" s="20" t="s">
        <v>35</v>
      </c>
      <c r="E11" s="13" t="s">
        <v>0</v>
      </c>
      <c r="F11" s="157"/>
      <c r="G11" s="157"/>
      <c r="H11" s="157"/>
      <c r="I11" s="35"/>
      <c r="J11" s="35"/>
      <c r="K11" s="35"/>
      <c r="L11" s="35"/>
      <c r="M11" s="35"/>
      <c r="N11" s="35"/>
      <c r="O11" s="35"/>
      <c r="P11" s="35"/>
    </row>
    <row r="12" spans="2:16" x14ac:dyDescent="0.3">
      <c r="B12" s="156" t="s">
        <v>26</v>
      </c>
      <c r="C12" s="157">
        <v>0</v>
      </c>
      <c r="D12" s="155">
        <v>310</v>
      </c>
      <c r="E12" s="13">
        <v>19</v>
      </c>
      <c r="F12" s="74">
        <f>(D12+(AVERAGE(E12:E14)/60))</f>
        <v>310.3</v>
      </c>
      <c r="G12" s="171">
        <v>0</v>
      </c>
      <c r="H12" s="36">
        <v>0</v>
      </c>
      <c r="I12" s="36">
        <v>0</v>
      </c>
      <c r="J12" s="36">
        <v>0</v>
      </c>
      <c r="K12" s="79">
        <f>(E12-E14)/2</f>
        <v>0.5</v>
      </c>
      <c r="L12" s="74">
        <f>K12/60</f>
        <v>8.3333333333333332E-3</v>
      </c>
      <c r="M12" s="36">
        <v>0</v>
      </c>
      <c r="N12" s="36">
        <v>0</v>
      </c>
      <c r="O12" s="36">
        <v>0</v>
      </c>
      <c r="P12" s="36">
        <v>0</v>
      </c>
    </row>
    <row r="13" spans="2:16" ht="15" customHeight="1" x14ac:dyDescent="0.3">
      <c r="B13" s="156"/>
      <c r="C13" s="157"/>
      <c r="D13" s="155"/>
      <c r="E13" s="13">
        <v>17</v>
      </c>
      <c r="F13" s="74"/>
      <c r="G13" s="171"/>
      <c r="H13" s="36"/>
      <c r="I13" s="36"/>
      <c r="J13" s="36"/>
      <c r="K13" s="79"/>
      <c r="L13" s="74"/>
      <c r="M13" s="36"/>
      <c r="N13" s="36"/>
      <c r="O13" s="36"/>
      <c r="P13" s="36"/>
    </row>
    <row r="14" spans="2:16" x14ac:dyDescent="0.3">
      <c r="B14" s="156"/>
      <c r="C14" s="157"/>
      <c r="D14" s="155"/>
      <c r="E14" s="13">
        <v>18</v>
      </c>
      <c r="F14" s="74"/>
      <c r="G14" s="171"/>
      <c r="H14" s="36"/>
      <c r="I14" s="36"/>
      <c r="J14" s="36"/>
      <c r="K14" s="79"/>
      <c r="L14" s="74"/>
      <c r="M14" s="36"/>
      <c r="N14" s="36"/>
      <c r="O14" s="36"/>
      <c r="P14" s="36"/>
    </row>
    <row r="15" spans="2:16" x14ac:dyDescent="0.3">
      <c r="B15" s="137" t="s">
        <v>2</v>
      </c>
      <c r="C15" s="149">
        <v>1</v>
      </c>
      <c r="D15" s="143">
        <v>331.5</v>
      </c>
      <c r="E15" s="8">
        <v>1</v>
      </c>
      <c r="F15" s="62">
        <f t="shared" ref="F15" si="0">(D15+(AVERAGE(E15:E17)/60))</f>
        <v>331.53888888888889</v>
      </c>
      <c r="G15" s="82">
        <f>F15-$F$12</f>
        <v>21.23888888888888</v>
      </c>
      <c r="H15" s="49">
        <f>($E$5*SIN(RADIANS(G15)))/C15</f>
        <v>6037.6215233890434</v>
      </c>
      <c r="I15" s="53">
        <f>SUM(H15:H26)/4</f>
        <v>5889.441941268904</v>
      </c>
      <c r="J15" s="63">
        <v>5890</v>
      </c>
      <c r="K15" s="76">
        <f>(E17-E15)/2</f>
        <v>1.5</v>
      </c>
      <c r="L15" s="62">
        <f t="shared" ref="L15" si="1">K15/60</f>
        <v>2.5000000000000001E-2</v>
      </c>
      <c r="M15" s="62">
        <f>SQRT(((L15^2)+($L$12^2)))</f>
        <v>2.6352313834736497E-2</v>
      </c>
      <c r="N15" s="53">
        <f>ABS(($E$5/C15)*COS(RADIANS(G15))*(M15))</f>
        <v>409.37359339714857</v>
      </c>
      <c r="O15" s="49">
        <f>AVERAGE(N15:N26)</f>
        <v>261.929278636753</v>
      </c>
      <c r="P15" s="32">
        <f>(ABS(I15-J15)/J15)*100</f>
        <v>9.4746813428866795E-3</v>
      </c>
    </row>
    <row r="16" spans="2:16" x14ac:dyDescent="0.3">
      <c r="B16" s="138"/>
      <c r="C16" s="150"/>
      <c r="D16" s="144"/>
      <c r="E16" s="8">
        <v>2</v>
      </c>
      <c r="F16" s="62"/>
      <c r="G16" s="83"/>
      <c r="H16" s="50"/>
      <c r="I16" s="53"/>
      <c r="J16" s="63"/>
      <c r="K16" s="76"/>
      <c r="L16" s="62"/>
      <c r="M16" s="63"/>
      <c r="N16" s="53"/>
      <c r="O16" s="50"/>
      <c r="P16" s="32"/>
    </row>
    <row r="17" spans="2:16" x14ac:dyDescent="0.3">
      <c r="B17" s="138"/>
      <c r="C17" s="151"/>
      <c r="D17" s="145"/>
      <c r="E17" s="8">
        <v>4</v>
      </c>
      <c r="F17" s="62"/>
      <c r="G17" s="84"/>
      <c r="H17" s="51"/>
      <c r="I17" s="53"/>
      <c r="J17" s="63"/>
      <c r="K17" s="76"/>
      <c r="L17" s="62"/>
      <c r="M17" s="63"/>
      <c r="N17" s="53"/>
      <c r="O17" s="50"/>
      <c r="P17" s="32"/>
    </row>
    <row r="18" spans="2:16" x14ac:dyDescent="0.3">
      <c r="B18" s="138"/>
      <c r="C18" s="149">
        <v>-1</v>
      </c>
      <c r="D18" s="143">
        <v>290</v>
      </c>
      <c r="E18" s="8">
        <v>6</v>
      </c>
      <c r="F18" s="62">
        <f t="shared" ref="F18" si="2">(D18+(AVERAGE(E18:E20)/60))</f>
        <v>290.07777777777778</v>
      </c>
      <c r="G18" s="82">
        <f>F18-$F$12</f>
        <v>-20.222222222222229</v>
      </c>
      <c r="H18" s="49">
        <f t="shared" ref="H18" si="3">($E$5*SIN(RADIANS(G18)))/C18</f>
        <v>5761.036140395614</v>
      </c>
      <c r="I18" s="53"/>
      <c r="J18" s="63"/>
      <c r="K18" s="76">
        <f>(E18-E20)/2</f>
        <v>1.5</v>
      </c>
      <c r="L18" s="62">
        <f t="shared" ref="L18" si="4">K18/60</f>
        <v>2.5000000000000001E-2</v>
      </c>
      <c r="M18" s="62">
        <f t="shared" ref="M18" si="5">SQRT(((L18^2)+($L$12^2)))</f>
        <v>2.6352313834736497E-2</v>
      </c>
      <c r="N18" s="53">
        <f>ABS(($E$5/C18)*COS(RADIANS(G18))*(M18))</f>
        <v>412.13219323317838</v>
      </c>
      <c r="O18" s="50"/>
      <c r="P18" s="32"/>
    </row>
    <row r="19" spans="2:16" x14ac:dyDescent="0.3">
      <c r="B19" s="138"/>
      <c r="C19" s="150"/>
      <c r="D19" s="144"/>
      <c r="E19" s="8">
        <v>5</v>
      </c>
      <c r="F19" s="62"/>
      <c r="G19" s="83"/>
      <c r="H19" s="50"/>
      <c r="I19" s="53"/>
      <c r="J19" s="63"/>
      <c r="K19" s="76"/>
      <c r="L19" s="62"/>
      <c r="M19" s="63"/>
      <c r="N19" s="53"/>
      <c r="O19" s="50"/>
      <c r="P19" s="32"/>
    </row>
    <row r="20" spans="2:16" x14ac:dyDescent="0.3">
      <c r="B20" s="138"/>
      <c r="C20" s="151"/>
      <c r="D20" s="145"/>
      <c r="E20" s="8">
        <v>3</v>
      </c>
      <c r="F20" s="62"/>
      <c r="G20" s="84"/>
      <c r="H20" s="51"/>
      <c r="I20" s="53"/>
      <c r="J20" s="63"/>
      <c r="K20" s="76"/>
      <c r="L20" s="62"/>
      <c r="M20" s="63"/>
      <c r="N20" s="53"/>
      <c r="O20" s="50"/>
      <c r="P20" s="32"/>
    </row>
    <row r="21" spans="2:16" x14ac:dyDescent="0.3">
      <c r="B21" s="138"/>
      <c r="C21" s="146">
        <v>2</v>
      </c>
      <c r="D21" s="143">
        <v>355.5</v>
      </c>
      <c r="E21" s="8">
        <v>22</v>
      </c>
      <c r="F21" s="62">
        <f t="shared" ref="F21" si="6">(D21+(AVERAGE(E21:E23)/60))</f>
        <v>355.86111111111109</v>
      </c>
      <c r="G21" s="82">
        <f t="shared" ref="G21" si="7">F21-$F$12</f>
        <v>45.561111111111074</v>
      </c>
      <c r="H21" s="49">
        <f t="shared" ref="H21" si="8">($E$5*SIN(RADIANS(G21)))/C21</f>
        <v>5949.9802182639951</v>
      </c>
      <c r="I21" s="53"/>
      <c r="J21" s="63"/>
      <c r="K21" s="76">
        <f>(E23-E21)/2</f>
        <v>0.5</v>
      </c>
      <c r="L21" s="62">
        <f t="shared" ref="L21" si="9">K21/60</f>
        <v>8.3333333333333332E-3</v>
      </c>
      <c r="M21" s="62">
        <f t="shared" ref="M21" si="10">SQRT(((L21^2)+($L$12^2)))</f>
        <v>1.1785113019775792E-2</v>
      </c>
      <c r="N21" s="53">
        <f t="shared" ref="N21" si="11">ABS(($E$5/C21)*COS(RADIANS(G21))*(M21))</f>
        <v>68.761039362894294</v>
      </c>
      <c r="O21" s="50"/>
      <c r="P21" s="32"/>
    </row>
    <row r="22" spans="2:16" x14ac:dyDescent="0.3">
      <c r="B22" s="138"/>
      <c r="C22" s="147"/>
      <c r="D22" s="144"/>
      <c r="E22" s="8">
        <v>20</v>
      </c>
      <c r="F22" s="62"/>
      <c r="G22" s="83"/>
      <c r="H22" s="50"/>
      <c r="I22" s="53"/>
      <c r="J22" s="63"/>
      <c r="K22" s="76"/>
      <c r="L22" s="62"/>
      <c r="M22" s="63"/>
      <c r="N22" s="53"/>
      <c r="O22" s="50"/>
      <c r="P22" s="32"/>
    </row>
    <row r="23" spans="2:16" x14ac:dyDescent="0.3">
      <c r="B23" s="138"/>
      <c r="C23" s="148"/>
      <c r="D23" s="145"/>
      <c r="E23" s="8">
        <v>23</v>
      </c>
      <c r="F23" s="62"/>
      <c r="G23" s="84"/>
      <c r="H23" s="51"/>
      <c r="I23" s="53"/>
      <c r="J23" s="63"/>
      <c r="K23" s="76"/>
      <c r="L23" s="62"/>
      <c r="M23" s="63"/>
      <c r="N23" s="53"/>
      <c r="O23" s="50"/>
      <c r="P23" s="32"/>
    </row>
    <row r="24" spans="2:16" x14ac:dyDescent="0.3">
      <c r="B24" s="138"/>
      <c r="C24" s="146">
        <v>-2</v>
      </c>
      <c r="D24" s="143">
        <v>266</v>
      </c>
      <c r="E24" s="8">
        <v>5</v>
      </c>
      <c r="F24" s="62">
        <f t="shared" ref="F24" si="12">(D24+(AVERAGE(E24:E26)/60))</f>
        <v>266.10555555555555</v>
      </c>
      <c r="G24" s="82">
        <f t="shared" ref="G24" si="13">F24-$F$12</f>
        <v>-44.194444444444457</v>
      </c>
      <c r="H24" s="49">
        <f t="shared" ref="H24" si="14">($E$5*SIN(RADIANS(G24)))/C24</f>
        <v>5809.1298830269643</v>
      </c>
      <c r="I24" s="53"/>
      <c r="J24" s="63"/>
      <c r="K24" s="76">
        <f>(E26-E24)/2</f>
        <v>1.5</v>
      </c>
      <c r="L24" s="62">
        <f t="shared" ref="L24" si="15">K24/60</f>
        <v>2.5000000000000001E-2</v>
      </c>
      <c r="M24" s="62">
        <f t="shared" ref="M24" si="16">SQRT(((L24^2)+($L$12^2)))</f>
        <v>2.6352313834736497E-2</v>
      </c>
      <c r="N24" s="53">
        <f t="shared" ref="N24" si="17">ABS(($E$5/C24)*COS(RADIANS(G24))*(M24))</f>
        <v>157.45028855379064</v>
      </c>
      <c r="O24" s="50"/>
      <c r="P24" s="32"/>
    </row>
    <row r="25" spans="2:16" x14ac:dyDescent="0.3">
      <c r="B25" s="138"/>
      <c r="C25" s="147"/>
      <c r="D25" s="144"/>
      <c r="E25" s="8">
        <v>6</v>
      </c>
      <c r="F25" s="62"/>
      <c r="G25" s="83"/>
      <c r="H25" s="50"/>
      <c r="I25" s="53"/>
      <c r="J25" s="63"/>
      <c r="K25" s="76"/>
      <c r="L25" s="62"/>
      <c r="M25" s="63"/>
      <c r="N25" s="53"/>
      <c r="O25" s="50"/>
      <c r="P25" s="32"/>
    </row>
    <row r="26" spans="2:16" x14ac:dyDescent="0.3">
      <c r="B26" s="139"/>
      <c r="C26" s="148"/>
      <c r="D26" s="145"/>
      <c r="E26" s="8">
        <v>8</v>
      </c>
      <c r="F26" s="62"/>
      <c r="G26" s="84"/>
      <c r="H26" s="51"/>
      <c r="I26" s="53"/>
      <c r="J26" s="63"/>
      <c r="K26" s="76"/>
      <c r="L26" s="62"/>
      <c r="M26" s="63"/>
      <c r="N26" s="53"/>
      <c r="O26" s="51"/>
      <c r="P26" s="32"/>
    </row>
    <row r="27" spans="2:16" x14ac:dyDescent="0.3">
      <c r="B27" s="99" t="s">
        <v>5</v>
      </c>
      <c r="C27" s="162">
        <v>1</v>
      </c>
      <c r="D27" s="165">
        <v>330.5</v>
      </c>
      <c r="E27" s="14">
        <v>14</v>
      </c>
      <c r="F27" s="37">
        <f t="shared" ref="F27" si="18">(D27+(AVERAGE(E27:E29)/60))</f>
        <v>330.75555555555553</v>
      </c>
      <c r="G27" s="175">
        <f t="shared" ref="G27" si="19">F27-$F$12</f>
        <v>20.45555555555552</v>
      </c>
      <c r="H27" s="54">
        <f t="shared" ref="H27" si="20">($E$5*SIN(RADIANS(G27)))/C27</f>
        <v>5824.6782930466125</v>
      </c>
      <c r="I27" s="64">
        <f>(H27+H30)/2</f>
        <v>5693.3012845772555</v>
      </c>
      <c r="J27" s="68">
        <v>5621</v>
      </c>
      <c r="K27" s="80">
        <f>(E29-E27)/2</f>
        <v>1</v>
      </c>
      <c r="L27" s="37">
        <f t="shared" ref="L27" si="21">K27/60</f>
        <v>1.6666666666666666E-2</v>
      </c>
      <c r="M27" s="37">
        <f t="shared" ref="M27" si="22">SQRT(((L27^2)+($L$12^2)))</f>
        <v>1.8633899812498248E-2</v>
      </c>
      <c r="N27" s="64">
        <f t="shared" ref="N27" si="23">ABS(($E$5/C27)*COS(RADIANS(G27))*(M27))</f>
        <v>290.98187500845108</v>
      </c>
      <c r="O27" s="54">
        <f>AVERAGE(N27:N32)</f>
        <v>238.07025337202231</v>
      </c>
      <c r="P27" s="37">
        <f>(ABS(I27-J27)/J27)*100</f>
        <v>1.2862708517569026</v>
      </c>
    </row>
    <row r="28" spans="2:16" x14ac:dyDescent="0.3">
      <c r="B28" s="100"/>
      <c r="C28" s="163"/>
      <c r="D28" s="166"/>
      <c r="E28" s="14">
        <v>16</v>
      </c>
      <c r="F28" s="37"/>
      <c r="G28" s="176"/>
      <c r="H28" s="55"/>
      <c r="I28" s="68"/>
      <c r="J28" s="68"/>
      <c r="K28" s="80"/>
      <c r="L28" s="37"/>
      <c r="M28" s="68"/>
      <c r="N28" s="64"/>
      <c r="O28" s="55"/>
      <c r="P28" s="37"/>
    </row>
    <row r="29" spans="2:16" x14ac:dyDescent="0.3">
      <c r="B29" s="100"/>
      <c r="C29" s="164"/>
      <c r="D29" s="167"/>
      <c r="E29" s="14">
        <v>16</v>
      </c>
      <c r="F29" s="37"/>
      <c r="G29" s="177"/>
      <c r="H29" s="56"/>
      <c r="I29" s="68"/>
      <c r="J29" s="68"/>
      <c r="K29" s="80"/>
      <c r="L29" s="37"/>
      <c r="M29" s="68"/>
      <c r="N29" s="64"/>
      <c r="O29" s="55"/>
      <c r="P29" s="37"/>
    </row>
    <row r="30" spans="2:16" x14ac:dyDescent="0.3">
      <c r="B30" s="100"/>
      <c r="C30" s="162">
        <v>-1</v>
      </c>
      <c r="D30" s="165">
        <v>290.5</v>
      </c>
      <c r="E30" s="14">
        <v>19</v>
      </c>
      <c r="F30" s="37">
        <f t="shared" ref="F30" si="24">(D30+(AVERAGE(E30:E32)/60))</f>
        <v>290.80555555555554</v>
      </c>
      <c r="G30" s="175">
        <f t="shared" ref="G30" si="25">F30-$F$12</f>
        <v>-19.494444444444468</v>
      </c>
      <c r="H30" s="54">
        <f t="shared" ref="H30" si="26">($E$5*SIN(RADIANS(G30)))/C30</f>
        <v>5561.9242761078995</v>
      </c>
      <c r="I30" s="68"/>
      <c r="J30" s="68"/>
      <c r="K30" s="80">
        <f>(E30-E32)/2</f>
        <v>0.5</v>
      </c>
      <c r="L30" s="37">
        <f t="shared" ref="L30" si="27">K30/60</f>
        <v>8.3333333333333332E-3</v>
      </c>
      <c r="M30" s="37">
        <f t="shared" ref="M30" si="28">SQRT(((L30^2)+($L$12^2)))</f>
        <v>1.1785113019775792E-2</v>
      </c>
      <c r="N30" s="64">
        <f t="shared" ref="N30" si="29">ABS(($E$5/C30)*COS(RADIANS(G30))*(M30))</f>
        <v>185.15863173559353</v>
      </c>
      <c r="O30" s="55"/>
      <c r="P30" s="37"/>
    </row>
    <row r="31" spans="2:16" x14ac:dyDescent="0.3">
      <c r="B31" s="100"/>
      <c r="C31" s="163"/>
      <c r="D31" s="166"/>
      <c r="E31" s="14">
        <v>18</v>
      </c>
      <c r="F31" s="37"/>
      <c r="G31" s="176"/>
      <c r="H31" s="55"/>
      <c r="I31" s="68"/>
      <c r="J31" s="68"/>
      <c r="K31" s="80"/>
      <c r="L31" s="37"/>
      <c r="M31" s="68"/>
      <c r="N31" s="64"/>
      <c r="O31" s="55"/>
      <c r="P31" s="37"/>
    </row>
    <row r="32" spans="2:16" x14ac:dyDescent="0.3">
      <c r="B32" s="101"/>
      <c r="C32" s="164"/>
      <c r="D32" s="167"/>
      <c r="E32" s="14">
        <v>18</v>
      </c>
      <c r="F32" s="37"/>
      <c r="G32" s="177"/>
      <c r="H32" s="56"/>
      <c r="I32" s="68"/>
      <c r="J32" s="68"/>
      <c r="K32" s="80"/>
      <c r="L32" s="37"/>
      <c r="M32" s="68"/>
      <c r="N32" s="64"/>
      <c r="O32" s="56"/>
      <c r="P32" s="37"/>
    </row>
    <row r="33" spans="2:16" x14ac:dyDescent="0.3">
      <c r="B33" s="96" t="s">
        <v>7</v>
      </c>
      <c r="C33" s="158">
        <v>1</v>
      </c>
      <c r="D33" s="168">
        <v>328</v>
      </c>
      <c r="E33" s="15">
        <v>13</v>
      </c>
      <c r="F33" s="38">
        <f t="shared" ref="F33:F36" si="30">(D33+(AVERAGE(E33:E35)/60))</f>
        <v>328.21111111111111</v>
      </c>
      <c r="G33" s="172">
        <f t="shared" ref="G33" si="31">F33-$F$12</f>
        <v>17.911111111111097</v>
      </c>
      <c r="H33" s="57">
        <f t="shared" ref="H33" si="32">($E$5*SIN(RADIANS(G33)))/C33</f>
        <v>5125.6858402267271</v>
      </c>
      <c r="I33" s="65">
        <f>(H33+H36)/2</f>
        <v>4988.4535265856994</v>
      </c>
      <c r="J33" s="69">
        <v>5071</v>
      </c>
      <c r="K33" s="81">
        <f t="shared" ref="K33" si="33">(E33-E35)/2</f>
        <v>0.5</v>
      </c>
      <c r="L33" s="38">
        <f t="shared" ref="L33" si="34">K33/60</f>
        <v>8.3333333333333332E-3</v>
      </c>
      <c r="M33" s="38">
        <f t="shared" ref="M33" si="35">SQRT(((L33^2)+($L$12^2)))</f>
        <v>1.1785113019775792E-2</v>
      </c>
      <c r="N33" s="65">
        <f>ABS(($E$5/C33)*COS(RADIANS(G33))*(M33))</f>
        <v>186.89908241150007</v>
      </c>
      <c r="O33" s="57">
        <f>AVERAGE(N33:N38)</f>
        <v>303.543530804277</v>
      </c>
      <c r="P33" s="38">
        <f>(ABS(I33-J33)/J33)*100</f>
        <v>1.6278145023526056</v>
      </c>
    </row>
    <row r="34" spans="2:16" x14ac:dyDescent="0.3">
      <c r="B34" s="97"/>
      <c r="C34" s="159"/>
      <c r="D34" s="169"/>
      <c r="E34" s="15">
        <v>13</v>
      </c>
      <c r="F34" s="38"/>
      <c r="G34" s="173"/>
      <c r="H34" s="58"/>
      <c r="I34" s="69"/>
      <c r="J34" s="69"/>
      <c r="K34" s="81"/>
      <c r="L34" s="38"/>
      <c r="M34" s="69"/>
      <c r="N34" s="65"/>
      <c r="O34" s="58"/>
      <c r="P34" s="38"/>
    </row>
    <row r="35" spans="2:16" x14ac:dyDescent="0.3">
      <c r="B35" s="97"/>
      <c r="C35" s="160"/>
      <c r="D35" s="170"/>
      <c r="E35" s="15">
        <v>12</v>
      </c>
      <c r="F35" s="38"/>
      <c r="G35" s="174"/>
      <c r="H35" s="59"/>
      <c r="I35" s="69"/>
      <c r="J35" s="69"/>
      <c r="K35" s="81"/>
      <c r="L35" s="38"/>
      <c r="M35" s="69"/>
      <c r="N35" s="65"/>
      <c r="O35" s="58"/>
      <c r="P35" s="38"/>
    </row>
    <row r="36" spans="2:16" x14ac:dyDescent="0.3">
      <c r="B36" s="97"/>
      <c r="C36" s="158">
        <v>-1</v>
      </c>
      <c r="D36" s="168">
        <v>293</v>
      </c>
      <c r="E36" s="15">
        <v>21</v>
      </c>
      <c r="F36" s="38">
        <f t="shared" si="30"/>
        <v>293.37777777777779</v>
      </c>
      <c r="G36" s="172">
        <f t="shared" ref="G36" si="36">F36-$F$12</f>
        <v>-16.922222222222217</v>
      </c>
      <c r="H36" s="57">
        <f t="shared" ref="H36" si="37">($E$5*SIN(RADIANS(G36)))/C36</f>
        <v>4851.2212129446716</v>
      </c>
      <c r="I36" s="69"/>
      <c r="J36" s="69"/>
      <c r="K36" s="81">
        <f>(E37-E36)/2</f>
        <v>1.5</v>
      </c>
      <c r="L36" s="38">
        <f t="shared" ref="L36" si="38">K36/60</f>
        <v>2.5000000000000001E-2</v>
      </c>
      <c r="M36" s="38">
        <f t="shared" ref="M36" si="39">SQRT(((L36^2)+($L$12^2)))</f>
        <v>2.6352313834736497E-2</v>
      </c>
      <c r="N36" s="65">
        <f t="shared" ref="N36" si="40">ABS(($E$5/C36)*COS(RADIANS(G36))*(M36))</f>
        <v>420.18797919705395</v>
      </c>
      <c r="O36" s="58"/>
      <c r="P36" s="38"/>
    </row>
    <row r="37" spans="2:16" x14ac:dyDescent="0.3">
      <c r="B37" s="97"/>
      <c r="C37" s="159"/>
      <c r="D37" s="169"/>
      <c r="E37" s="15">
        <v>24</v>
      </c>
      <c r="F37" s="38"/>
      <c r="G37" s="173"/>
      <c r="H37" s="58"/>
      <c r="I37" s="69"/>
      <c r="J37" s="69"/>
      <c r="K37" s="81"/>
      <c r="L37" s="38"/>
      <c r="M37" s="69"/>
      <c r="N37" s="65"/>
      <c r="O37" s="58"/>
      <c r="P37" s="38"/>
    </row>
    <row r="38" spans="2:16" x14ac:dyDescent="0.3">
      <c r="B38" s="98"/>
      <c r="C38" s="160"/>
      <c r="D38" s="170"/>
      <c r="E38" s="15">
        <v>23</v>
      </c>
      <c r="F38" s="38"/>
      <c r="G38" s="174"/>
      <c r="H38" s="59"/>
      <c r="I38" s="69"/>
      <c r="J38" s="69"/>
      <c r="K38" s="81"/>
      <c r="L38" s="38"/>
      <c r="M38" s="69"/>
      <c r="N38" s="65"/>
      <c r="O38" s="59"/>
      <c r="P38" s="38"/>
    </row>
    <row r="39" spans="2:16" x14ac:dyDescent="0.3">
      <c r="D39" s="3"/>
    </row>
    <row r="40" spans="2:16" x14ac:dyDescent="0.3">
      <c r="D40" s="3"/>
    </row>
    <row r="41" spans="2:16" x14ac:dyDescent="0.3">
      <c r="B41" s="33" t="s">
        <v>27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2:16" x14ac:dyDescent="0.3">
      <c r="B42" s="21"/>
      <c r="C42" s="22" t="s">
        <v>32</v>
      </c>
      <c r="D42" s="154" t="s">
        <v>33</v>
      </c>
      <c r="E42" s="154"/>
      <c r="F42" s="154" t="s">
        <v>34</v>
      </c>
      <c r="G42" s="154" t="s">
        <v>34</v>
      </c>
      <c r="H42" s="154"/>
      <c r="I42" s="105"/>
      <c r="J42" s="34"/>
      <c r="K42" s="34"/>
      <c r="L42" s="34"/>
      <c r="M42" s="34"/>
      <c r="N42" s="34"/>
      <c r="O42" s="39"/>
      <c r="P42" s="39"/>
    </row>
    <row r="43" spans="2:16" x14ac:dyDescent="0.3">
      <c r="B43" s="19"/>
      <c r="C43" s="13" t="s">
        <v>1</v>
      </c>
      <c r="D43" s="20" t="s">
        <v>36</v>
      </c>
      <c r="E43" s="13" t="s">
        <v>0</v>
      </c>
      <c r="F43" s="157"/>
      <c r="G43" s="157"/>
      <c r="H43" s="157"/>
      <c r="I43" s="106"/>
      <c r="J43" s="35"/>
      <c r="K43" s="35"/>
      <c r="L43" s="35"/>
      <c r="M43" s="35"/>
      <c r="N43" s="35"/>
      <c r="O43" s="36"/>
      <c r="P43" s="36"/>
    </row>
    <row r="44" spans="2:16" x14ac:dyDescent="0.3">
      <c r="B44" s="85" t="s">
        <v>3</v>
      </c>
      <c r="C44" s="102">
        <v>1</v>
      </c>
      <c r="D44" s="87">
        <v>324.5</v>
      </c>
      <c r="E44" s="16">
        <v>21</v>
      </c>
      <c r="F44" s="182">
        <f>D44+(AVERAGE(E44:E46)/60)</f>
        <v>324.87222222222221</v>
      </c>
      <c r="G44" s="182">
        <f>F44-$F$12</f>
        <v>14.572222222222194</v>
      </c>
      <c r="H44" s="41">
        <f>($E$5*SIN(RADIANS(G44)))/C44</f>
        <v>4193.3361665429029</v>
      </c>
      <c r="I44" s="60">
        <f>SUM(H44:H55)/4</f>
        <v>4047.1735741852881</v>
      </c>
      <c r="J44" s="71">
        <v>4047</v>
      </c>
      <c r="K44" s="77">
        <f>(E46-E44)/2</f>
        <v>1</v>
      </c>
      <c r="L44" s="70">
        <f>K44/60</f>
        <v>1.6666666666666666E-2</v>
      </c>
      <c r="M44" s="70">
        <f>SQRT(((L44^2)+($L$12^2)))</f>
        <v>1.8633899812498248E-2</v>
      </c>
      <c r="N44" s="60">
        <f>ABS(($E$5/C44)*COS(RADIANS(G44))*(M44))</f>
        <v>300.57451330058296</v>
      </c>
      <c r="O44" s="40">
        <f>AVERAGE(N44:N55)</f>
        <v>305.38353865227145</v>
      </c>
      <c r="P44" s="29">
        <f>(ABS(I44-J44)/J44)*100</f>
        <v>4.2889593597254562E-3</v>
      </c>
    </row>
    <row r="45" spans="2:16" x14ac:dyDescent="0.3">
      <c r="B45" s="85"/>
      <c r="C45" s="102">
        <v>1</v>
      </c>
      <c r="D45" s="87">
        <v>324.5</v>
      </c>
      <c r="E45" s="9">
        <v>23</v>
      </c>
      <c r="F45" s="182"/>
      <c r="G45" s="182"/>
      <c r="H45" s="41"/>
      <c r="I45" s="60"/>
      <c r="J45" s="71"/>
      <c r="K45" s="77"/>
      <c r="L45" s="70"/>
      <c r="M45" s="71"/>
      <c r="N45" s="60"/>
      <c r="O45" s="41"/>
      <c r="P45" s="29"/>
    </row>
    <row r="46" spans="2:16" x14ac:dyDescent="0.3">
      <c r="B46" s="85"/>
      <c r="C46" s="103">
        <v>1</v>
      </c>
      <c r="D46" s="88">
        <v>324.5</v>
      </c>
      <c r="E46" s="9">
        <v>23</v>
      </c>
      <c r="F46" s="183"/>
      <c r="G46" s="183"/>
      <c r="H46" s="42"/>
      <c r="I46" s="60"/>
      <c r="J46" s="71"/>
      <c r="K46" s="77"/>
      <c r="L46" s="70"/>
      <c r="M46" s="71"/>
      <c r="N46" s="60"/>
      <c r="O46" s="41"/>
      <c r="P46" s="29"/>
    </row>
    <row r="47" spans="2:16" x14ac:dyDescent="0.3">
      <c r="B47" s="85"/>
      <c r="C47" s="104">
        <v>-1</v>
      </c>
      <c r="D47" s="89">
        <v>296.5</v>
      </c>
      <c r="E47" s="9">
        <v>14</v>
      </c>
      <c r="F47" s="182">
        <f>D47+(AVERAGE(E47:E49)/60)</f>
        <v>296.75</v>
      </c>
      <c r="G47" s="184">
        <f t="shared" ref="G47" si="41">F47-$F$12</f>
        <v>-13.550000000000011</v>
      </c>
      <c r="H47" s="40">
        <f t="shared" ref="H47" si="42">($E$5*SIN(RADIANS(G47)))/C47</f>
        <v>3904.8971281953136</v>
      </c>
      <c r="I47" s="60"/>
      <c r="J47" s="71"/>
      <c r="K47" s="77">
        <f>(E48-E47)/2</f>
        <v>1</v>
      </c>
      <c r="L47" s="70">
        <f t="shared" ref="L47" si="43">K47/60</f>
        <v>1.6666666666666666E-2</v>
      </c>
      <c r="M47" s="70">
        <f t="shared" ref="M47" si="44">SQRT(((L47^2)+($L$12^2)))</f>
        <v>1.8633899812498248E-2</v>
      </c>
      <c r="N47" s="60">
        <f t="shared" ref="N47" si="45">ABS(($E$5/C47)*COS(RADIANS(G47))*(M47))</f>
        <v>301.92067816131009</v>
      </c>
      <c r="O47" s="41"/>
      <c r="P47" s="29"/>
    </row>
    <row r="48" spans="2:16" x14ac:dyDescent="0.3">
      <c r="B48" s="85"/>
      <c r="C48" s="102">
        <v>-1</v>
      </c>
      <c r="D48" s="87">
        <v>297</v>
      </c>
      <c r="E48" s="9">
        <v>16</v>
      </c>
      <c r="F48" s="182"/>
      <c r="G48" s="182"/>
      <c r="H48" s="41"/>
      <c r="I48" s="60"/>
      <c r="J48" s="71"/>
      <c r="K48" s="77"/>
      <c r="L48" s="70"/>
      <c r="M48" s="71"/>
      <c r="N48" s="60"/>
      <c r="O48" s="41"/>
      <c r="P48" s="29"/>
    </row>
    <row r="49" spans="2:16" x14ac:dyDescent="0.3">
      <c r="B49" s="85"/>
      <c r="C49" s="103">
        <v>-1</v>
      </c>
      <c r="D49" s="88">
        <v>297</v>
      </c>
      <c r="E49" s="9">
        <v>15</v>
      </c>
      <c r="F49" s="183"/>
      <c r="G49" s="183"/>
      <c r="H49" s="42"/>
      <c r="I49" s="60"/>
      <c r="J49" s="71"/>
      <c r="K49" s="77"/>
      <c r="L49" s="70"/>
      <c r="M49" s="71"/>
      <c r="N49" s="60"/>
      <c r="O49" s="41"/>
      <c r="P49" s="29"/>
    </row>
    <row r="50" spans="2:16" x14ac:dyDescent="0.3">
      <c r="B50" s="85"/>
      <c r="C50" s="93">
        <v>2</v>
      </c>
      <c r="D50" s="90">
        <v>339.5</v>
      </c>
      <c r="E50" s="9">
        <v>23</v>
      </c>
      <c r="F50" s="182">
        <f>D50+(AVERAGE(E50:E52)/60)</f>
        <v>339.83333333333331</v>
      </c>
      <c r="G50" s="184">
        <f t="shared" ref="G50" si="46">F50-$F$12</f>
        <v>29.533333333333303</v>
      </c>
      <c r="H50" s="40">
        <f t="shared" ref="H50" si="47">($E$5*SIN(RADIANS(G50)))/C50</f>
        <v>4107.7485763309887</v>
      </c>
      <c r="I50" s="60"/>
      <c r="J50" s="71"/>
      <c r="K50" s="77">
        <f>(E50-E51)/2</f>
        <v>3</v>
      </c>
      <c r="L50" s="70">
        <f t="shared" ref="L50" si="48">K50/60</f>
        <v>0.05</v>
      </c>
      <c r="M50" s="70">
        <f t="shared" ref="M50" si="49">SQRT(((L50^2)+($L$12^2)))</f>
        <v>5.0689687752485169E-2</v>
      </c>
      <c r="N50" s="60">
        <f t="shared" ref="N50" si="50">ABS(($E$5/C50)*COS(RADIANS(G50))*(M50))</f>
        <v>367.52941160552814</v>
      </c>
      <c r="O50" s="41"/>
      <c r="P50" s="29"/>
    </row>
    <row r="51" spans="2:16" x14ac:dyDescent="0.3">
      <c r="B51" s="85"/>
      <c r="C51" s="94">
        <v>2</v>
      </c>
      <c r="D51" s="91">
        <v>339</v>
      </c>
      <c r="E51" s="9">
        <v>17</v>
      </c>
      <c r="F51" s="182"/>
      <c r="G51" s="182"/>
      <c r="H51" s="41"/>
      <c r="I51" s="60"/>
      <c r="J51" s="71"/>
      <c r="K51" s="77"/>
      <c r="L51" s="70"/>
      <c r="M51" s="71"/>
      <c r="N51" s="60"/>
      <c r="O51" s="41"/>
      <c r="P51" s="29"/>
    </row>
    <row r="52" spans="2:16" x14ac:dyDescent="0.3">
      <c r="B52" s="85"/>
      <c r="C52" s="95">
        <v>2</v>
      </c>
      <c r="D52" s="92">
        <v>339</v>
      </c>
      <c r="E52" s="9">
        <v>20</v>
      </c>
      <c r="F52" s="183"/>
      <c r="G52" s="183"/>
      <c r="H52" s="42"/>
      <c r="I52" s="60"/>
      <c r="J52" s="71"/>
      <c r="K52" s="77"/>
      <c r="L52" s="70"/>
      <c r="M52" s="71"/>
      <c r="N52" s="60"/>
      <c r="O52" s="41"/>
      <c r="P52" s="29"/>
    </row>
    <row r="53" spans="2:16" x14ac:dyDescent="0.3">
      <c r="B53" s="85"/>
      <c r="C53" s="93">
        <v>-2</v>
      </c>
      <c r="D53" s="90">
        <v>281.5</v>
      </c>
      <c r="E53" s="9">
        <v>17</v>
      </c>
      <c r="F53" s="182">
        <f>D53+(AVERAGE(E53:E55)/60)</f>
        <v>281.75</v>
      </c>
      <c r="G53" s="184">
        <f t="shared" ref="G53" si="51">F53-$F$12</f>
        <v>-28.550000000000011</v>
      </c>
      <c r="H53" s="40">
        <f t="shared" ref="H53" si="52">($E$5*SIN(RADIANS(G53)))/C53</f>
        <v>3982.7124256719471</v>
      </c>
      <c r="I53" s="60"/>
      <c r="J53" s="71"/>
      <c r="K53" s="77">
        <f>(E53-E55)/2</f>
        <v>2</v>
      </c>
      <c r="L53" s="70">
        <f t="shared" ref="L53" si="53">K53/60</f>
        <v>3.3333333333333333E-2</v>
      </c>
      <c r="M53" s="70">
        <f t="shared" ref="M53" si="54">SQRT(((L53^2)+($L$12^2)))</f>
        <v>3.4359213546813837E-2</v>
      </c>
      <c r="N53" s="60">
        <f t="shared" ref="N53" si="55">ABS(($E$5/C53)*COS(RADIANS(G53))*(M53))</f>
        <v>251.50955154166479</v>
      </c>
      <c r="O53" s="41"/>
      <c r="P53" s="29"/>
    </row>
    <row r="54" spans="2:16" x14ac:dyDescent="0.3">
      <c r="B54" s="85"/>
      <c r="C54" s="94">
        <v>-2</v>
      </c>
      <c r="D54" s="91">
        <v>282</v>
      </c>
      <c r="E54" s="9">
        <v>15</v>
      </c>
      <c r="F54" s="182"/>
      <c r="G54" s="182"/>
      <c r="H54" s="41"/>
      <c r="I54" s="60"/>
      <c r="J54" s="71"/>
      <c r="K54" s="77"/>
      <c r="L54" s="70"/>
      <c r="M54" s="71"/>
      <c r="N54" s="60"/>
      <c r="O54" s="41"/>
      <c r="P54" s="29"/>
    </row>
    <row r="55" spans="2:16" x14ac:dyDescent="0.3">
      <c r="B55" s="86"/>
      <c r="C55" s="95">
        <v>-2</v>
      </c>
      <c r="D55" s="92">
        <v>282</v>
      </c>
      <c r="E55" s="9">
        <v>13</v>
      </c>
      <c r="F55" s="183"/>
      <c r="G55" s="183"/>
      <c r="H55" s="42"/>
      <c r="I55" s="60"/>
      <c r="J55" s="71"/>
      <c r="K55" s="77"/>
      <c r="L55" s="70"/>
      <c r="M55" s="71"/>
      <c r="N55" s="60"/>
      <c r="O55" s="42"/>
      <c r="P55" s="29"/>
    </row>
    <row r="56" spans="2:16" x14ac:dyDescent="0.3">
      <c r="B56" s="125" t="s">
        <v>4</v>
      </c>
      <c r="C56" s="107">
        <v>1</v>
      </c>
      <c r="D56" s="128">
        <v>325.5</v>
      </c>
      <c r="E56" s="10">
        <v>28</v>
      </c>
      <c r="F56" s="178">
        <f>D56+(AVERAGE(E56:E58)/60)</f>
        <v>325.97222222222223</v>
      </c>
      <c r="G56" s="185">
        <f t="shared" ref="G56" si="56">F56-$F$12</f>
        <v>15.672222222222217</v>
      </c>
      <c r="H56" s="43">
        <f t="shared" ref="H56" si="57">($E$5*SIN(RADIANS(G56)))/C56</f>
        <v>4502.2281343873665</v>
      </c>
      <c r="I56" s="61">
        <f>SUM(H56:H67)/4</f>
        <v>4359.4903033870396</v>
      </c>
      <c r="J56" s="73">
        <v>4358</v>
      </c>
      <c r="K56" s="78">
        <f>(E58-E56)/2</f>
        <v>0.5</v>
      </c>
      <c r="L56" s="72">
        <f t="shared" ref="L56" si="58">K56/60</f>
        <v>8.3333333333333332E-3</v>
      </c>
      <c r="M56" s="72">
        <f t="shared" ref="M56" si="59">SQRT(((L56^2)+($L$12^2)))</f>
        <v>1.1785113019775792E-2</v>
      </c>
      <c r="N56" s="61">
        <f t="shared" ref="N56" si="60">ABS(($E$5/C56)*COS(RADIANS(G56))*(M56))</f>
        <v>189.11626333044615</v>
      </c>
      <c r="O56" s="43">
        <f>AVERAGE(N56:N67)</f>
        <v>160.96280779840896</v>
      </c>
      <c r="P56" s="30">
        <f t="shared" ref="P56" si="61">(ABS(I56-J56)/J56)*100</f>
        <v>3.4196957022478269E-2</v>
      </c>
    </row>
    <row r="57" spans="2:16" x14ac:dyDescent="0.3">
      <c r="B57" s="126"/>
      <c r="C57" s="108">
        <v>1</v>
      </c>
      <c r="D57" s="129">
        <v>325.5</v>
      </c>
      <c r="E57" s="10">
        <v>28</v>
      </c>
      <c r="F57" s="178"/>
      <c r="G57" s="178"/>
      <c r="H57" s="44"/>
      <c r="I57" s="61"/>
      <c r="J57" s="73"/>
      <c r="K57" s="78"/>
      <c r="L57" s="72"/>
      <c r="M57" s="73"/>
      <c r="N57" s="61"/>
      <c r="O57" s="44"/>
      <c r="P57" s="30"/>
    </row>
    <row r="58" spans="2:16" x14ac:dyDescent="0.3">
      <c r="B58" s="126"/>
      <c r="C58" s="109">
        <v>1</v>
      </c>
      <c r="D58" s="130">
        <v>325.5</v>
      </c>
      <c r="E58" s="10">
        <v>29</v>
      </c>
      <c r="F58" s="179"/>
      <c r="G58" s="179"/>
      <c r="H58" s="45"/>
      <c r="I58" s="61"/>
      <c r="J58" s="73"/>
      <c r="K58" s="78"/>
      <c r="L58" s="72"/>
      <c r="M58" s="73"/>
      <c r="N58" s="61"/>
      <c r="O58" s="44"/>
      <c r="P58" s="30"/>
    </row>
    <row r="59" spans="2:16" x14ac:dyDescent="0.3">
      <c r="B59" s="126"/>
      <c r="C59" s="107">
        <v>-1</v>
      </c>
      <c r="D59" s="128">
        <v>295.5</v>
      </c>
      <c r="E59" s="10">
        <v>8</v>
      </c>
      <c r="F59" s="178">
        <f>D59+(AVERAGE(E59:E61)/60)</f>
        <v>295.62777777777779</v>
      </c>
      <c r="G59" s="185">
        <f t="shared" ref="G59" si="62">F59-$F$12</f>
        <v>-14.672222222222217</v>
      </c>
      <c r="H59" s="43">
        <f t="shared" ref="H59" si="63">($E$5*SIN(RADIANS(G59)))/C59</f>
        <v>4221.4828356859143</v>
      </c>
      <c r="I59" s="61"/>
      <c r="J59" s="73"/>
      <c r="K59" s="78">
        <f>(E59-E60)/2</f>
        <v>0.5</v>
      </c>
      <c r="L59" s="72">
        <f t="shared" ref="L59" si="64">K59/60</f>
        <v>8.3333333333333332E-3</v>
      </c>
      <c r="M59" s="72">
        <f t="shared" ref="M59" si="65">SQRT(((L59^2)+($L$12^2)))</f>
        <v>1.1785113019775792E-2</v>
      </c>
      <c r="N59" s="61">
        <f t="shared" ref="N59" si="66">ABS(($E$5/C59)*COS(RADIANS(G59))*(M59))</f>
        <v>190.01347190754478</v>
      </c>
      <c r="O59" s="44"/>
      <c r="P59" s="30"/>
    </row>
    <row r="60" spans="2:16" x14ac:dyDescent="0.3">
      <c r="B60" s="126"/>
      <c r="C60" s="108">
        <v>-1</v>
      </c>
      <c r="D60" s="129">
        <v>295</v>
      </c>
      <c r="E60" s="10">
        <v>7</v>
      </c>
      <c r="F60" s="178"/>
      <c r="G60" s="178"/>
      <c r="H60" s="44"/>
      <c r="I60" s="61"/>
      <c r="J60" s="73"/>
      <c r="K60" s="78"/>
      <c r="L60" s="72"/>
      <c r="M60" s="73"/>
      <c r="N60" s="61"/>
      <c r="O60" s="44"/>
      <c r="P60" s="30"/>
    </row>
    <row r="61" spans="2:16" x14ac:dyDescent="0.3">
      <c r="B61" s="126"/>
      <c r="C61" s="109">
        <v>-1</v>
      </c>
      <c r="D61" s="130">
        <v>295</v>
      </c>
      <c r="E61" s="10">
        <v>8</v>
      </c>
      <c r="F61" s="179"/>
      <c r="G61" s="179"/>
      <c r="H61" s="45"/>
      <c r="I61" s="61"/>
      <c r="J61" s="73"/>
      <c r="K61" s="78"/>
      <c r="L61" s="72"/>
      <c r="M61" s="73"/>
      <c r="N61" s="61"/>
      <c r="O61" s="44"/>
      <c r="P61" s="30"/>
    </row>
    <row r="62" spans="2:16" x14ac:dyDescent="0.3">
      <c r="B62" s="126"/>
      <c r="C62" s="134">
        <v>2</v>
      </c>
      <c r="D62" s="131">
        <v>342</v>
      </c>
      <c r="E62" s="10">
        <v>17</v>
      </c>
      <c r="F62" s="178">
        <f>D62+(AVERAGE(E62:E64)/60)</f>
        <v>342.26666666666665</v>
      </c>
      <c r="G62" s="185">
        <f t="shared" ref="G62" si="67">F62-$F$12</f>
        <v>31.96666666666664</v>
      </c>
      <c r="H62" s="43">
        <f t="shared" ref="H62" si="68">($E$5*SIN(RADIANS(G62)))/C62</f>
        <v>4411.8816683224013</v>
      </c>
      <c r="I62" s="61"/>
      <c r="J62" s="73"/>
      <c r="K62" s="78">
        <f>(E62-E64)/2</f>
        <v>1</v>
      </c>
      <c r="L62" s="72">
        <f t="shared" ref="L62" si="69">K62/60</f>
        <v>1.6666666666666666E-2</v>
      </c>
      <c r="M62" s="72">
        <f t="shared" ref="M62" si="70">SQRT(((L62^2)+($L$12^2)))</f>
        <v>1.8633899812498248E-2</v>
      </c>
      <c r="N62" s="61">
        <f t="shared" ref="N62" si="71">ABS(($E$5/C62)*COS(RADIANS(G62))*(M62))</f>
        <v>131.73487762300852</v>
      </c>
      <c r="O62" s="44"/>
      <c r="P62" s="30"/>
    </row>
    <row r="63" spans="2:16" x14ac:dyDescent="0.3">
      <c r="B63" s="126"/>
      <c r="C63" s="135">
        <v>2</v>
      </c>
      <c r="D63" s="132">
        <v>341.5</v>
      </c>
      <c r="E63" s="10">
        <v>16</v>
      </c>
      <c r="F63" s="178"/>
      <c r="G63" s="178"/>
      <c r="H63" s="44"/>
      <c r="I63" s="61"/>
      <c r="J63" s="73"/>
      <c r="K63" s="78"/>
      <c r="L63" s="72"/>
      <c r="M63" s="73"/>
      <c r="N63" s="61"/>
      <c r="O63" s="44"/>
      <c r="P63" s="30"/>
    </row>
    <row r="64" spans="2:16" x14ac:dyDescent="0.3">
      <c r="B64" s="126"/>
      <c r="C64" s="136">
        <v>2</v>
      </c>
      <c r="D64" s="133">
        <v>341.5</v>
      </c>
      <c r="E64" s="10">
        <v>15</v>
      </c>
      <c r="F64" s="179"/>
      <c r="G64" s="179"/>
      <c r="H64" s="45"/>
      <c r="I64" s="61"/>
      <c r="J64" s="73"/>
      <c r="K64" s="78"/>
      <c r="L64" s="72"/>
      <c r="M64" s="73"/>
      <c r="N64" s="61"/>
      <c r="O64" s="44"/>
      <c r="P64" s="30"/>
    </row>
    <row r="65" spans="2:16" x14ac:dyDescent="0.3">
      <c r="B65" s="126"/>
      <c r="C65" s="134">
        <v>-2</v>
      </c>
      <c r="D65" s="131">
        <v>279</v>
      </c>
      <c r="E65" s="10">
        <v>12</v>
      </c>
      <c r="F65" s="178">
        <f>D65+(AVERAGE(E65:E67)/60)</f>
        <v>279.21666666666664</v>
      </c>
      <c r="G65" s="185">
        <f t="shared" ref="G65" si="72">F65-$F$12</f>
        <v>-31.083333333333371</v>
      </c>
      <c r="H65" s="43">
        <f t="shared" ref="H65" si="73">($E$5*SIN(RADIANS(G65)))/C65</f>
        <v>4302.3685751524781</v>
      </c>
      <c r="I65" s="61"/>
      <c r="J65" s="73"/>
      <c r="K65" s="78">
        <f>(E67-E65)/2</f>
        <v>1</v>
      </c>
      <c r="L65" s="72">
        <f t="shared" ref="L65" si="74">K65/60</f>
        <v>1.6666666666666666E-2</v>
      </c>
      <c r="M65" s="72">
        <f t="shared" ref="M65" si="75">SQRT(((L65^2)+($L$12^2)))</f>
        <v>1.8633899812498248E-2</v>
      </c>
      <c r="N65" s="61">
        <f t="shared" ref="N65" si="76">ABS(($E$5/C65)*COS(RADIANS(G65))*(M65))</f>
        <v>132.98661833263643</v>
      </c>
      <c r="O65" s="44"/>
      <c r="P65" s="30"/>
    </row>
    <row r="66" spans="2:16" x14ac:dyDescent="0.3">
      <c r="B66" s="126"/>
      <c r="C66" s="135">
        <v>-2</v>
      </c>
      <c r="D66" s="132">
        <v>277.5</v>
      </c>
      <c r="E66" s="10">
        <v>13</v>
      </c>
      <c r="F66" s="178"/>
      <c r="G66" s="178"/>
      <c r="H66" s="44"/>
      <c r="I66" s="61"/>
      <c r="J66" s="73"/>
      <c r="K66" s="78"/>
      <c r="L66" s="72"/>
      <c r="M66" s="73"/>
      <c r="N66" s="61"/>
      <c r="O66" s="44"/>
      <c r="P66" s="30"/>
    </row>
    <row r="67" spans="2:16" x14ac:dyDescent="0.3">
      <c r="B67" s="127"/>
      <c r="C67" s="136">
        <v>-2</v>
      </c>
      <c r="D67" s="133">
        <v>277.5</v>
      </c>
      <c r="E67" s="10">
        <v>14</v>
      </c>
      <c r="F67" s="179"/>
      <c r="G67" s="179"/>
      <c r="H67" s="45"/>
      <c r="I67" s="61"/>
      <c r="J67" s="73"/>
      <c r="K67" s="78"/>
      <c r="L67" s="72"/>
      <c r="M67" s="73"/>
      <c r="N67" s="61"/>
      <c r="O67" s="45"/>
      <c r="P67" s="30"/>
    </row>
    <row r="68" spans="2:16" x14ac:dyDescent="0.3">
      <c r="B68" s="110" t="s">
        <v>5</v>
      </c>
      <c r="C68" s="122">
        <v>1</v>
      </c>
      <c r="D68" s="113">
        <v>329.5</v>
      </c>
      <c r="E68" s="11">
        <v>27</v>
      </c>
      <c r="F68" s="180">
        <f>D68+(AVERAGE(E68:E70)/60)</f>
        <v>329.93333333333334</v>
      </c>
      <c r="G68" s="186">
        <f t="shared" ref="G68" si="77">F68-$F$12</f>
        <v>19.633333333333326</v>
      </c>
      <c r="H68" s="46">
        <f t="shared" ref="H68" si="78">($E$5*SIN(RADIANS(G68)))/C68</f>
        <v>5599.9929960006039</v>
      </c>
      <c r="I68" s="52">
        <f>SUM(H68:H79)/4</f>
        <v>5465.3746117565943</v>
      </c>
      <c r="J68" s="67">
        <v>5460</v>
      </c>
      <c r="K68" s="75">
        <f>(E68-E69)/2</f>
        <v>1</v>
      </c>
      <c r="L68" s="66">
        <f t="shared" ref="L68" si="79">K68/60</f>
        <v>1.6666666666666666E-2</v>
      </c>
      <c r="M68" s="66">
        <f t="shared" ref="M68" si="80">SQRT(((L68^2)+($L$12^2)))</f>
        <v>1.8633899812498248E-2</v>
      </c>
      <c r="N68" s="52">
        <f t="shared" ref="N68" si="81">ABS(($E$5/C68)*COS(RADIANS(G68))*(M68))</f>
        <v>292.50941118675166</v>
      </c>
      <c r="O68" s="46">
        <f>AVERAGE(N68:N79)</f>
        <v>285.55175781166588</v>
      </c>
      <c r="P68" s="31">
        <f t="shared" ref="P68" si="82">(ABS(I68-J68)/J68)*100</f>
        <v>9.8436112758136934E-2</v>
      </c>
    </row>
    <row r="69" spans="2:16" x14ac:dyDescent="0.3">
      <c r="B69" s="111"/>
      <c r="C69" s="123">
        <v>1</v>
      </c>
      <c r="D69" s="114">
        <v>329</v>
      </c>
      <c r="E69" s="11">
        <v>25</v>
      </c>
      <c r="F69" s="180"/>
      <c r="G69" s="180"/>
      <c r="H69" s="47"/>
      <c r="I69" s="52"/>
      <c r="J69" s="67"/>
      <c r="K69" s="75"/>
      <c r="L69" s="66"/>
      <c r="M69" s="67"/>
      <c r="N69" s="52"/>
      <c r="O69" s="47"/>
      <c r="P69" s="31"/>
    </row>
    <row r="70" spans="2:16" x14ac:dyDescent="0.3">
      <c r="B70" s="111"/>
      <c r="C70" s="124">
        <v>1</v>
      </c>
      <c r="D70" s="115">
        <v>329.5</v>
      </c>
      <c r="E70" s="11">
        <v>26</v>
      </c>
      <c r="F70" s="181"/>
      <c r="G70" s="181"/>
      <c r="H70" s="48"/>
      <c r="I70" s="52"/>
      <c r="J70" s="67"/>
      <c r="K70" s="75"/>
      <c r="L70" s="66"/>
      <c r="M70" s="67"/>
      <c r="N70" s="52"/>
      <c r="O70" s="47"/>
      <c r="P70" s="31"/>
    </row>
    <row r="71" spans="2:16" x14ac:dyDescent="0.3">
      <c r="B71" s="111"/>
      <c r="C71" s="122">
        <v>-1</v>
      </c>
      <c r="D71" s="113">
        <v>291.5</v>
      </c>
      <c r="E71" s="11">
        <v>10</v>
      </c>
      <c r="F71" s="180">
        <f>D71+(AVERAGE(E71:E73)/60)</f>
        <v>291.68888888888887</v>
      </c>
      <c r="G71" s="186">
        <f t="shared" ref="G71" si="83">F71-$F$12</f>
        <v>-18.611111111111143</v>
      </c>
      <c r="H71" s="46">
        <f t="shared" ref="H71" si="84">($E$5*SIN(RADIANS(G71)))/C71</f>
        <v>5319.0516622671903</v>
      </c>
      <c r="I71" s="52"/>
      <c r="J71" s="67"/>
      <c r="K71" s="75">
        <f>(E73-E71)/2</f>
        <v>1.5</v>
      </c>
      <c r="L71" s="66">
        <f t="shared" ref="L71" si="85">K71/60</f>
        <v>2.5000000000000001E-2</v>
      </c>
      <c r="M71" s="66">
        <f t="shared" ref="M71" si="86">SQRT(((L71^2)+($L$12^2)))</f>
        <v>2.6352313834736497E-2</v>
      </c>
      <c r="N71" s="52">
        <f t="shared" ref="N71" si="87">ABS(($E$5/C71)*COS(RADIANS(G71))*(M71))</f>
        <v>416.23766847925833</v>
      </c>
      <c r="O71" s="47"/>
      <c r="P71" s="31"/>
    </row>
    <row r="72" spans="2:16" x14ac:dyDescent="0.3">
      <c r="B72" s="111"/>
      <c r="C72" s="123">
        <v>-1</v>
      </c>
      <c r="D72" s="114">
        <v>290.5</v>
      </c>
      <c r="E72" s="11">
        <v>11</v>
      </c>
      <c r="F72" s="180"/>
      <c r="G72" s="180"/>
      <c r="H72" s="47"/>
      <c r="I72" s="52"/>
      <c r="J72" s="67"/>
      <c r="K72" s="75"/>
      <c r="L72" s="66"/>
      <c r="M72" s="67"/>
      <c r="N72" s="52"/>
      <c r="O72" s="47"/>
      <c r="P72" s="31"/>
    </row>
    <row r="73" spans="2:16" x14ac:dyDescent="0.3">
      <c r="B73" s="111"/>
      <c r="C73" s="124">
        <v>-1</v>
      </c>
      <c r="D73" s="115">
        <v>291</v>
      </c>
      <c r="E73" s="11">
        <v>13</v>
      </c>
      <c r="F73" s="181"/>
      <c r="G73" s="181"/>
      <c r="H73" s="48"/>
      <c r="I73" s="52"/>
      <c r="J73" s="67"/>
      <c r="K73" s="75"/>
      <c r="L73" s="66"/>
      <c r="M73" s="67"/>
      <c r="N73" s="52"/>
      <c r="O73" s="47"/>
      <c r="P73" s="31"/>
    </row>
    <row r="74" spans="2:16" x14ac:dyDescent="0.3">
      <c r="B74" s="111"/>
      <c r="C74" s="119">
        <v>2</v>
      </c>
      <c r="D74" s="116">
        <v>351.5</v>
      </c>
      <c r="E74" s="11">
        <v>21</v>
      </c>
      <c r="F74" s="180">
        <f>D74+(AVERAGE(E74:E76)/60)</f>
        <v>351.82777777777778</v>
      </c>
      <c r="G74" s="186">
        <f t="shared" ref="G74" si="88">F74-$F$12</f>
        <v>41.527777777777771</v>
      </c>
      <c r="H74" s="46">
        <f t="shared" ref="H74" si="89">($E$5*SIN(RADIANS(G74)))/C74</f>
        <v>5524.8589525747002</v>
      </c>
      <c r="I74" s="52"/>
      <c r="J74" s="67"/>
      <c r="K74" s="75">
        <f>(E74-E75)/2</f>
        <v>1.5</v>
      </c>
      <c r="L74" s="66">
        <f t="shared" ref="L74" si="90">K74/60</f>
        <v>2.5000000000000001E-2</v>
      </c>
      <c r="M74" s="66">
        <f t="shared" ref="M74" si="91">SQRT(((L74^2)+($L$12^2)))</f>
        <v>2.6352313834736497E-2</v>
      </c>
      <c r="N74" s="52">
        <f t="shared" ref="N74" si="92">ABS(($E$5/C74)*COS(RADIANS(G74))*(M74))</f>
        <v>164.40206895536721</v>
      </c>
      <c r="O74" s="47"/>
      <c r="P74" s="31"/>
    </row>
    <row r="75" spans="2:16" x14ac:dyDescent="0.3">
      <c r="B75" s="111"/>
      <c r="C75" s="120">
        <v>2</v>
      </c>
      <c r="D75" s="117">
        <v>350</v>
      </c>
      <c r="E75" s="11">
        <v>18</v>
      </c>
      <c r="F75" s="180"/>
      <c r="G75" s="180"/>
      <c r="H75" s="47"/>
      <c r="I75" s="52"/>
      <c r="J75" s="67"/>
      <c r="K75" s="75"/>
      <c r="L75" s="66"/>
      <c r="M75" s="67"/>
      <c r="N75" s="52"/>
      <c r="O75" s="47"/>
      <c r="P75" s="31"/>
    </row>
    <row r="76" spans="2:16" x14ac:dyDescent="0.3">
      <c r="B76" s="111"/>
      <c r="C76" s="121">
        <v>2</v>
      </c>
      <c r="D76" s="118">
        <v>350</v>
      </c>
      <c r="E76" s="11">
        <v>20</v>
      </c>
      <c r="F76" s="181"/>
      <c r="G76" s="181"/>
      <c r="H76" s="48"/>
      <c r="I76" s="52"/>
      <c r="J76" s="67"/>
      <c r="K76" s="75"/>
      <c r="L76" s="66"/>
      <c r="M76" s="67"/>
      <c r="N76" s="52"/>
      <c r="O76" s="47"/>
      <c r="P76" s="31"/>
    </row>
    <row r="77" spans="2:16" x14ac:dyDescent="0.3">
      <c r="B77" s="111"/>
      <c r="C77" s="119">
        <v>-2</v>
      </c>
      <c r="D77" s="116">
        <v>269.5</v>
      </c>
      <c r="E77" s="11">
        <v>14</v>
      </c>
      <c r="F77" s="180">
        <f>D77+(AVERAGE(E77:E79)/60)</f>
        <v>269.75</v>
      </c>
      <c r="G77" s="186">
        <f t="shared" ref="G77" si="93">F77-$F$12</f>
        <v>-40.550000000000011</v>
      </c>
      <c r="H77" s="46">
        <f t="shared" ref="H77" si="94">($E$5*SIN(RADIANS(G77)))/C77</f>
        <v>5417.5948361838819</v>
      </c>
      <c r="I77" s="52"/>
      <c r="J77" s="67"/>
      <c r="K77" s="75">
        <f>(E78-E79)/2</f>
        <v>2.5</v>
      </c>
      <c r="L77" s="66">
        <f t="shared" ref="L77" si="95">K77/60</f>
        <v>4.1666666666666664E-2</v>
      </c>
      <c r="M77" s="66">
        <f t="shared" ref="M77" si="96">SQRT(((L77^2)+($L$12^2)))</f>
        <v>4.2491829279939872E-2</v>
      </c>
      <c r="N77" s="52">
        <f t="shared" ref="N77" si="97">ABS(($E$5/C77)*COS(RADIANS(G77))*(M77))</f>
        <v>269.0578826252862</v>
      </c>
      <c r="O77" s="47"/>
      <c r="P77" s="31"/>
    </row>
    <row r="78" spans="2:16" x14ac:dyDescent="0.3">
      <c r="B78" s="111"/>
      <c r="C78" s="120">
        <v>-2</v>
      </c>
      <c r="D78" s="117">
        <v>269</v>
      </c>
      <c r="E78" s="11">
        <v>18</v>
      </c>
      <c r="F78" s="180"/>
      <c r="G78" s="180"/>
      <c r="H78" s="47"/>
      <c r="I78" s="52"/>
      <c r="J78" s="67"/>
      <c r="K78" s="75"/>
      <c r="L78" s="66"/>
      <c r="M78" s="67"/>
      <c r="N78" s="52"/>
      <c r="O78" s="47"/>
      <c r="P78" s="31"/>
    </row>
    <row r="79" spans="2:16" x14ac:dyDescent="0.3">
      <c r="B79" s="112"/>
      <c r="C79" s="121">
        <v>-2</v>
      </c>
      <c r="D79" s="118">
        <v>269</v>
      </c>
      <c r="E79" s="11">
        <v>13</v>
      </c>
      <c r="F79" s="181"/>
      <c r="G79" s="181"/>
      <c r="H79" s="48"/>
      <c r="I79" s="52"/>
      <c r="J79" s="67"/>
      <c r="K79" s="75"/>
      <c r="L79" s="66"/>
      <c r="M79" s="67"/>
      <c r="N79" s="52"/>
      <c r="O79" s="48"/>
      <c r="P79" s="31"/>
    </row>
    <row r="80" spans="2:16" x14ac:dyDescent="0.3">
      <c r="B80" s="137" t="s">
        <v>6</v>
      </c>
      <c r="C80" s="149">
        <v>1</v>
      </c>
      <c r="D80" s="140">
        <v>331</v>
      </c>
      <c r="E80" s="12">
        <v>4</v>
      </c>
      <c r="F80" s="83">
        <f>D80+(AVERAGE(E80:E82)/60)</f>
        <v>331.06666666666666</v>
      </c>
      <c r="G80" s="82">
        <f t="shared" ref="G80" si="98">F80-$F$12</f>
        <v>20.766666666666652</v>
      </c>
      <c r="H80" s="49">
        <f t="shared" ref="H80" si="99">($E$5*SIN(RADIANS(G80)))/C80</f>
        <v>5909.3840468424833</v>
      </c>
      <c r="I80" s="53">
        <f>SUM(H80:H91)/4</f>
        <v>5785.2597967899083</v>
      </c>
      <c r="J80" s="63">
        <v>5770</v>
      </c>
      <c r="K80" s="76">
        <f>(E81-E82)/2</f>
        <v>2</v>
      </c>
      <c r="L80" s="62">
        <f t="shared" ref="L80" si="100">K80/60</f>
        <v>3.3333333333333333E-2</v>
      </c>
      <c r="M80" s="62">
        <f t="shared" ref="M80" si="101">SQRT(((L80^2)+($L$12^2)))</f>
        <v>3.4359213546813837E-2</v>
      </c>
      <c r="N80" s="53">
        <f t="shared" ref="N80" si="102">ABS(($E$5/C80)*COS(RADIANS(G80))*(M80))</f>
        <v>535.44946627160834</v>
      </c>
      <c r="O80" s="49">
        <f>AVERAGE(N80:N91)</f>
        <v>388.86977181114429</v>
      </c>
      <c r="P80" s="32">
        <f t="shared" ref="P80" si="103">(ABS(I80-J80)/J80)*100</f>
        <v>0.26446788197414645</v>
      </c>
    </row>
    <row r="81" spans="2:16" x14ac:dyDescent="0.3">
      <c r="B81" s="138"/>
      <c r="C81" s="150">
        <v>1</v>
      </c>
      <c r="D81" s="141">
        <v>330.5</v>
      </c>
      <c r="E81" s="12">
        <v>6</v>
      </c>
      <c r="F81" s="83"/>
      <c r="G81" s="83"/>
      <c r="H81" s="50"/>
      <c r="I81" s="53"/>
      <c r="J81" s="63"/>
      <c r="K81" s="76"/>
      <c r="L81" s="62"/>
      <c r="M81" s="63"/>
      <c r="N81" s="53"/>
      <c r="O81" s="50"/>
      <c r="P81" s="32"/>
    </row>
    <row r="82" spans="2:16" x14ac:dyDescent="0.3">
      <c r="B82" s="138"/>
      <c r="C82" s="151">
        <v>1</v>
      </c>
      <c r="D82" s="142">
        <v>330.5</v>
      </c>
      <c r="E82" s="12">
        <v>2</v>
      </c>
      <c r="F82" s="84"/>
      <c r="G82" s="84"/>
      <c r="H82" s="51"/>
      <c r="I82" s="53"/>
      <c r="J82" s="63"/>
      <c r="K82" s="76"/>
      <c r="L82" s="62"/>
      <c r="M82" s="63"/>
      <c r="N82" s="53"/>
      <c r="O82" s="50"/>
      <c r="P82" s="32"/>
    </row>
    <row r="83" spans="2:16" x14ac:dyDescent="0.3">
      <c r="B83" s="138"/>
      <c r="C83" s="149">
        <v>-1</v>
      </c>
      <c r="D83" s="140">
        <v>290.5</v>
      </c>
      <c r="E83" s="12">
        <v>3</v>
      </c>
      <c r="F83" s="83">
        <f>D83+(AVERAGE(E83:E85)/60)</f>
        <v>290.54444444444442</v>
      </c>
      <c r="G83" s="82">
        <f t="shared" ref="G83" si="104">F83-$F$12</f>
        <v>-19.755555555555588</v>
      </c>
      <c r="H83" s="49">
        <f t="shared" ref="H83" si="105">($E$5*SIN(RADIANS(G83)))/C83</f>
        <v>5633.4662569397042</v>
      </c>
      <c r="I83" s="53"/>
      <c r="J83" s="63"/>
      <c r="K83" s="76">
        <f>(E84-E85)/2</f>
        <v>1.5</v>
      </c>
      <c r="L83" s="62">
        <f t="shared" ref="L83" si="106">K83/60</f>
        <v>2.5000000000000001E-2</v>
      </c>
      <c r="M83" s="62">
        <f t="shared" ref="M83" si="107">SQRT(((L83^2)+($L$12^2)))</f>
        <v>2.6352313834736497E-2</v>
      </c>
      <c r="N83" s="53">
        <f t="shared" ref="N83" si="108">ABS(($E$5/C83)*COS(RADIANS(G83))*(M83))</f>
        <v>413.35503614872482</v>
      </c>
      <c r="O83" s="50"/>
      <c r="P83" s="32"/>
    </row>
    <row r="84" spans="2:16" x14ac:dyDescent="0.3">
      <c r="B84" s="138"/>
      <c r="C84" s="150">
        <v>-1</v>
      </c>
      <c r="D84" s="141">
        <v>289.5</v>
      </c>
      <c r="E84" s="12">
        <v>4</v>
      </c>
      <c r="F84" s="83"/>
      <c r="G84" s="83"/>
      <c r="H84" s="50"/>
      <c r="I84" s="53"/>
      <c r="J84" s="63"/>
      <c r="K84" s="76"/>
      <c r="L84" s="62"/>
      <c r="M84" s="63"/>
      <c r="N84" s="53"/>
      <c r="O84" s="50"/>
      <c r="P84" s="32"/>
    </row>
    <row r="85" spans="2:16" x14ac:dyDescent="0.3">
      <c r="B85" s="138"/>
      <c r="C85" s="151">
        <v>-1</v>
      </c>
      <c r="D85" s="142">
        <v>289.5</v>
      </c>
      <c r="E85" s="12">
        <v>1</v>
      </c>
      <c r="F85" s="84"/>
      <c r="G85" s="84"/>
      <c r="H85" s="51"/>
      <c r="I85" s="53"/>
      <c r="J85" s="63"/>
      <c r="K85" s="76"/>
      <c r="L85" s="62"/>
      <c r="M85" s="63"/>
      <c r="N85" s="53"/>
      <c r="O85" s="50"/>
      <c r="P85" s="32"/>
    </row>
    <row r="86" spans="2:16" x14ac:dyDescent="0.3">
      <c r="B86" s="138"/>
      <c r="C86" s="146">
        <v>2</v>
      </c>
      <c r="D86" s="143">
        <v>354.5</v>
      </c>
      <c r="E86" s="12">
        <v>18</v>
      </c>
      <c r="F86" s="83">
        <f>D86+(AVERAGE(E86:E88)/60)</f>
        <v>354.85</v>
      </c>
      <c r="G86" s="82">
        <f t="shared" ref="G86" si="109">F86-$F$12</f>
        <v>44.550000000000011</v>
      </c>
      <c r="H86" s="49">
        <f t="shared" ref="H86" si="110">($E$5*SIN(RADIANS(G86)))/C86</f>
        <v>5846.0952147571334</v>
      </c>
      <c r="I86" s="53"/>
      <c r="J86" s="63"/>
      <c r="K86" s="76">
        <f>(E88-E86)/2</f>
        <v>3</v>
      </c>
      <c r="L86" s="62">
        <f t="shared" ref="L86" si="111">K86/60</f>
        <v>0.05</v>
      </c>
      <c r="M86" s="62">
        <f t="shared" ref="M86" si="112">SQRT(((L86^2)+($L$12^2)))</f>
        <v>5.0689687752485169E-2</v>
      </c>
      <c r="N86" s="53">
        <f t="shared" ref="N86" si="113">ABS(($E$5/C86)*COS(RADIANS(G86))*(M86))</f>
        <v>301.02853337260126</v>
      </c>
      <c r="O86" s="50"/>
      <c r="P86" s="32"/>
    </row>
    <row r="87" spans="2:16" x14ac:dyDescent="0.3">
      <c r="B87" s="138"/>
      <c r="C87" s="147">
        <v>2</v>
      </c>
      <c r="D87" s="144">
        <v>353</v>
      </c>
      <c r="E87" s="12">
        <v>21</v>
      </c>
      <c r="F87" s="83"/>
      <c r="G87" s="83"/>
      <c r="H87" s="50"/>
      <c r="I87" s="53"/>
      <c r="J87" s="63"/>
      <c r="K87" s="76"/>
      <c r="L87" s="62"/>
      <c r="M87" s="63"/>
      <c r="N87" s="53"/>
      <c r="O87" s="50"/>
      <c r="P87" s="32"/>
    </row>
    <row r="88" spans="2:16" x14ac:dyDescent="0.3">
      <c r="B88" s="138"/>
      <c r="C88" s="148">
        <v>2</v>
      </c>
      <c r="D88" s="145">
        <v>353</v>
      </c>
      <c r="E88" s="12">
        <v>24</v>
      </c>
      <c r="F88" s="84"/>
      <c r="G88" s="84"/>
      <c r="H88" s="51"/>
      <c r="I88" s="53"/>
      <c r="J88" s="63"/>
      <c r="K88" s="76"/>
      <c r="L88" s="62"/>
      <c r="M88" s="63"/>
      <c r="N88" s="53"/>
      <c r="O88" s="50"/>
      <c r="P88" s="32"/>
    </row>
    <row r="89" spans="2:16" x14ac:dyDescent="0.3">
      <c r="B89" s="138"/>
      <c r="C89" s="146">
        <v>-2</v>
      </c>
      <c r="D89" s="143">
        <v>266.5</v>
      </c>
      <c r="E89" s="12">
        <v>6</v>
      </c>
      <c r="F89" s="83">
        <f>D89+(AVERAGE(E89:E91)/60)</f>
        <v>266.64999999999998</v>
      </c>
      <c r="G89" s="82">
        <f t="shared" ref="G89" si="114">F89-$F$12</f>
        <v>-43.650000000000034</v>
      </c>
      <c r="H89" s="49">
        <f t="shared" ref="H89" si="115">($E$5*SIN(RADIANS(G89)))/C89</f>
        <v>5752.0936686203131</v>
      </c>
      <c r="I89" s="53"/>
      <c r="J89" s="63"/>
      <c r="K89" s="76">
        <f>(E91-E89)/2</f>
        <v>3</v>
      </c>
      <c r="L89" s="62">
        <f t="shared" ref="L89" si="116">K89/60</f>
        <v>0.05</v>
      </c>
      <c r="M89" s="62">
        <f t="shared" ref="M89" si="117">SQRT(((L89^2)+($L$12^2)))</f>
        <v>5.0689687752485169E-2</v>
      </c>
      <c r="N89" s="53">
        <f t="shared" ref="N89" si="118">ABS(($E$5/C89)*COS(RADIANS(G89))*(M89))</f>
        <v>305.64605145164268</v>
      </c>
      <c r="O89" s="50"/>
      <c r="P89" s="32"/>
    </row>
    <row r="90" spans="2:16" x14ac:dyDescent="0.3">
      <c r="B90" s="138"/>
      <c r="C90" s="147">
        <v>-2</v>
      </c>
      <c r="D90" s="144">
        <v>264.5</v>
      </c>
      <c r="E90" s="12">
        <v>9</v>
      </c>
      <c r="F90" s="83"/>
      <c r="G90" s="83"/>
      <c r="H90" s="50"/>
      <c r="I90" s="53"/>
      <c r="J90" s="63"/>
      <c r="K90" s="76"/>
      <c r="L90" s="62"/>
      <c r="M90" s="63"/>
      <c r="N90" s="53"/>
      <c r="O90" s="50"/>
      <c r="P90" s="32"/>
    </row>
    <row r="91" spans="2:16" x14ac:dyDescent="0.3">
      <c r="B91" s="139"/>
      <c r="C91" s="148">
        <v>-2</v>
      </c>
      <c r="D91" s="145">
        <v>264.5</v>
      </c>
      <c r="E91" s="12">
        <v>12</v>
      </c>
      <c r="F91" s="84"/>
      <c r="G91" s="84"/>
      <c r="H91" s="51"/>
      <c r="I91" s="53"/>
      <c r="J91" s="63"/>
      <c r="K91" s="76"/>
      <c r="L91" s="62"/>
      <c r="M91" s="63"/>
      <c r="N91" s="53"/>
      <c r="O91" s="51"/>
      <c r="P91" s="32"/>
    </row>
    <row r="95" spans="2:16" x14ac:dyDescent="0.3">
      <c r="D95" s="1"/>
    </row>
    <row r="96" spans="2:16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</sheetData>
  <mergeCells count="293">
    <mergeCell ref="H89:H91"/>
    <mergeCell ref="G89:G91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H74:H76"/>
    <mergeCell ref="H77:H79"/>
    <mergeCell ref="H80:H82"/>
    <mergeCell ref="H83:H85"/>
    <mergeCell ref="H86:H88"/>
    <mergeCell ref="J56:J67"/>
    <mergeCell ref="J68:J79"/>
    <mergeCell ref="J80:J91"/>
    <mergeCell ref="J10:J11"/>
    <mergeCell ref="J12:J14"/>
    <mergeCell ref="J15:J26"/>
    <mergeCell ref="J27:J32"/>
    <mergeCell ref="J33:J38"/>
    <mergeCell ref="J42:J43"/>
    <mergeCell ref="J44:J55"/>
    <mergeCell ref="F89:F91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G74:G76"/>
    <mergeCell ref="G77:G79"/>
    <mergeCell ref="G80:G82"/>
    <mergeCell ref="G83:G85"/>
    <mergeCell ref="G86:G88"/>
    <mergeCell ref="F74:F76"/>
    <mergeCell ref="F77:F79"/>
    <mergeCell ref="F80:F82"/>
    <mergeCell ref="G27:G29"/>
    <mergeCell ref="G30:G32"/>
    <mergeCell ref="G33:G35"/>
    <mergeCell ref="F83:F85"/>
    <mergeCell ref="F86:F88"/>
    <mergeCell ref="F59:F61"/>
    <mergeCell ref="F62:F64"/>
    <mergeCell ref="F65:F67"/>
    <mergeCell ref="F68:F70"/>
    <mergeCell ref="F71:F73"/>
    <mergeCell ref="F44:F46"/>
    <mergeCell ref="F47:F49"/>
    <mergeCell ref="F50:F52"/>
    <mergeCell ref="F53:F55"/>
    <mergeCell ref="F56:F58"/>
    <mergeCell ref="H10:H11"/>
    <mergeCell ref="H12:H14"/>
    <mergeCell ref="H42:H43"/>
    <mergeCell ref="G42:G43"/>
    <mergeCell ref="F42:F43"/>
    <mergeCell ref="C33:C35"/>
    <mergeCell ref="C36:C38"/>
    <mergeCell ref="D42:E42"/>
    <mergeCell ref="F10:F11"/>
    <mergeCell ref="C27:C29"/>
    <mergeCell ref="C30:C32"/>
    <mergeCell ref="D27:D29"/>
    <mergeCell ref="D30:D32"/>
    <mergeCell ref="D33:D35"/>
    <mergeCell ref="D36:D38"/>
    <mergeCell ref="G10:G11"/>
    <mergeCell ref="G12:G14"/>
    <mergeCell ref="G36:G38"/>
    <mergeCell ref="H15:H17"/>
    <mergeCell ref="H18:H20"/>
    <mergeCell ref="H21:H23"/>
    <mergeCell ref="H24:H26"/>
    <mergeCell ref="H27:H29"/>
    <mergeCell ref="H30:H32"/>
    <mergeCell ref="F12:F14"/>
    <mergeCell ref="F15:F17"/>
    <mergeCell ref="F18:F20"/>
    <mergeCell ref="B3:D3"/>
    <mergeCell ref="D10:E10"/>
    <mergeCell ref="D12:D14"/>
    <mergeCell ref="B15:B26"/>
    <mergeCell ref="D15:D17"/>
    <mergeCell ref="D18:D20"/>
    <mergeCell ref="D21:D23"/>
    <mergeCell ref="D24:D26"/>
    <mergeCell ref="C21:C23"/>
    <mergeCell ref="C24:C26"/>
    <mergeCell ref="B12:B14"/>
    <mergeCell ref="C12:C14"/>
    <mergeCell ref="C15:C17"/>
    <mergeCell ref="C18:C20"/>
    <mergeCell ref="B5:D5"/>
    <mergeCell ref="F21:F23"/>
    <mergeCell ref="F24:F26"/>
    <mergeCell ref="B80:B91"/>
    <mergeCell ref="D80:D82"/>
    <mergeCell ref="D83:D85"/>
    <mergeCell ref="D86:D88"/>
    <mergeCell ref="D89:D91"/>
    <mergeCell ref="C89:C91"/>
    <mergeCell ref="C80:C82"/>
    <mergeCell ref="C83:C85"/>
    <mergeCell ref="C86:C88"/>
    <mergeCell ref="C56:C58"/>
    <mergeCell ref="B68:B79"/>
    <mergeCell ref="D68:D70"/>
    <mergeCell ref="D71:D73"/>
    <mergeCell ref="D74:D76"/>
    <mergeCell ref="D77:D79"/>
    <mergeCell ref="C77:C79"/>
    <mergeCell ref="C68:C70"/>
    <mergeCell ref="C71:C73"/>
    <mergeCell ref="C74:C76"/>
    <mergeCell ref="C59:C61"/>
    <mergeCell ref="B56:B67"/>
    <mergeCell ref="D56:D58"/>
    <mergeCell ref="D59:D61"/>
    <mergeCell ref="D62:D64"/>
    <mergeCell ref="D65:D67"/>
    <mergeCell ref="C62:C64"/>
    <mergeCell ref="C65:C67"/>
    <mergeCell ref="I12:I14"/>
    <mergeCell ref="I10:I11"/>
    <mergeCell ref="I44:I55"/>
    <mergeCell ref="I56:I67"/>
    <mergeCell ref="I68:I79"/>
    <mergeCell ref="I80:I91"/>
    <mergeCell ref="I15:I26"/>
    <mergeCell ref="I27:I32"/>
    <mergeCell ref="I33:I38"/>
    <mergeCell ref="I42:I43"/>
    <mergeCell ref="K30:K32"/>
    <mergeCell ref="K33:K35"/>
    <mergeCell ref="K36:K38"/>
    <mergeCell ref="F30:F32"/>
    <mergeCell ref="F33:F35"/>
    <mergeCell ref="F36:F38"/>
    <mergeCell ref="G15:G17"/>
    <mergeCell ref="G18:G20"/>
    <mergeCell ref="B44:B55"/>
    <mergeCell ref="D44:D46"/>
    <mergeCell ref="D47:D49"/>
    <mergeCell ref="D50:D52"/>
    <mergeCell ref="D53:D55"/>
    <mergeCell ref="C50:C52"/>
    <mergeCell ref="C53:C55"/>
    <mergeCell ref="F27:F29"/>
    <mergeCell ref="B33:B38"/>
    <mergeCell ref="B27:B32"/>
    <mergeCell ref="C44:C46"/>
    <mergeCell ref="C47:C49"/>
    <mergeCell ref="H33:H35"/>
    <mergeCell ref="H36:H38"/>
    <mergeCell ref="G21:G23"/>
    <mergeCell ref="G24:G26"/>
    <mergeCell ref="K71:K73"/>
    <mergeCell ref="K74:K76"/>
    <mergeCell ref="K77:K79"/>
    <mergeCell ref="K80:K82"/>
    <mergeCell ref="K83:K85"/>
    <mergeCell ref="K86:K88"/>
    <mergeCell ref="K89:K91"/>
    <mergeCell ref="K42:K43"/>
    <mergeCell ref="K10:K11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12:K14"/>
    <mergeCell ref="K15:K17"/>
    <mergeCell ref="K18:K20"/>
    <mergeCell ref="K21:K23"/>
    <mergeCell ref="K24:K26"/>
    <mergeCell ref="K27:K29"/>
    <mergeCell ref="L10:L11"/>
    <mergeCell ref="L12:L14"/>
    <mergeCell ref="L15:L17"/>
    <mergeCell ref="L18:L20"/>
    <mergeCell ref="L21:L23"/>
    <mergeCell ref="L24:L26"/>
    <mergeCell ref="L27:L29"/>
    <mergeCell ref="L30:L32"/>
    <mergeCell ref="L33:L35"/>
    <mergeCell ref="L65:L67"/>
    <mergeCell ref="L68:L70"/>
    <mergeCell ref="L71:L73"/>
    <mergeCell ref="L74:L76"/>
    <mergeCell ref="L77:L79"/>
    <mergeCell ref="L80:L82"/>
    <mergeCell ref="L83:L85"/>
    <mergeCell ref="L36:L38"/>
    <mergeCell ref="L42:L43"/>
    <mergeCell ref="L44:L46"/>
    <mergeCell ref="L47:L49"/>
    <mergeCell ref="L50:L52"/>
    <mergeCell ref="L53:L55"/>
    <mergeCell ref="L56:L58"/>
    <mergeCell ref="L86:L88"/>
    <mergeCell ref="L89:L91"/>
    <mergeCell ref="M10:M11"/>
    <mergeCell ref="M42:M43"/>
    <mergeCell ref="M12:M14"/>
    <mergeCell ref="M15:M17"/>
    <mergeCell ref="M18:M20"/>
    <mergeCell ref="M21:M23"/>
    <mergeCell ref="M24:M26"/>
    <mergeCell ref="M27:M29"/>
    <mergeCell ref="M30:M32"/>
    <mergeCell ref="M33:M35"/>
    <mergeCell ref="M36:M38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L59:L61"/>
    <mergeCell ref="L62:L64"/>
    <mergeCell ref="M86:M88"/>
    <mergeCell ref="M89:M91"/>
    <mergeCell ref="N10:N11"/>
    <mergeCell ref="N12:N14"/>
    <mergeCell ref="N15:N17"/>
    <mergeCell ref="N18:N20"/>
    <mergeCell ref="N21:N23"/>
    <mergeCell ref="N24:N26"/>
    <mergeCell ref="N27:N29"/>
    <mergeCell ref="N30:N32"/>
    <mergeCell ref="N33:N35"/>
    <mergeCell ref="N36:N38"/>
    <mergeCell ref="N42:N43"/>
    <mergeCell ref="N44:N46"/>
    <mergeCell ref="N62:N64"/>
    <mergeCell ref="N65:N67"/>
    <mergeCell ref="N68:N70"/>
    <mergeCell ref="N71:N73"/>
    <mergeCell ref="M71:M73"/>
    <mergeCell ref="M74:M76"/>
    <mergeCell ref="M77:M79"/>
    <mergeCell ref="M80:M82"/>
    <mergeCell ref="M83:M85"/>
    <mergeCell ref="O15:O26"/>
    <mergeCell ref="O27:O32"/>
    <mergeCell ref="O33:O38"/>
    <mergeCell ref="O42:O43"/>
    <mergeCell ref="N47:N49"/>
    <mergeCell ref="N50:N52"/>
    <mergeCell ref="N53:N55"/>
    <mergeCell ref="N56:N58"/>
    <mergeCell ref="N59:N61"/>
    <mergeCell ref="P44:P55"/>
    <mergeCell ref="P56:P67"/>
    <mergeCell ref="P68:P79"/>
    <mergeCell ref="P80:P91"/>
    <mergeCell ref="B9:P9"/>
    <mergeCell ref="B41:P41"/>
    <mergeCell ref="P10:P11"/>
    <mergeCell ref="P12:P14"/>
    <mergeCell ref="P15:P26"/>
    <mergeCell ref="P27:P32"/>
    <mergeCell ref="P33:P38"/>
    <mergeCell ref="P42:P43"/>
    <mergeCell ref="O44:O55"/>
    <mergeCell ref="O56:O67"/>
    <mergeCell ref="O68:O79"/>
    <mergeCell ref="O80:O91"/>
    <mergeCell ref="N74:N76"/>
    <mergeCell ref="N77:N79"/>
    <mergeCell ref="N80:N82"/>
    <mergeCell ref="N83:N85"/>
    <mergeCell ref="N86:N88"/>
    <mergeCell ref="N89:N91"/>
    <mergeCell ref="O10:O11"/>
    <mergeCell ref="O12:O14"/>
  </mergeCells>
  <pageMargins left="0.7" right="0.7" top="0.75" bottom="0.75" header="0.3" footer="0.3"/>
  <ignoredErrors>
    <ignoredError sqref="F12 F15 F18 F21 F24 F27 F30 F33 F36 F44 F47 F50 F53 F56 F59 F62 F65 F68 F71 F74 F77 F80 F83 F86 F89 K13:K14 K45:K46 K48:K49 K51:K52 K54:K55 K57:K58 K60:K61 K63:K64 K66:K67 K69:K70 K72:K73 K75:K76 K78:K79 K81:K82" formulaRange="1"/>
    <ignoredError sqref="K15 K21 K18 K68 K71 K86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77BD-0A44-4B41-999A-29F4317FEE57}">
  <dimension ref="B1:Q90"/>
  <sheetViews>
    <sheetView topLeftCell="B4" workbookViewId="0">
      <selection activeCell="V50" sqref="V50"/>
    </sheetView>
  </sheetViews>
  <sheetFormatPr defaultRowHeight="14.4" x14ac:dyDescent="0.3"/>
  <cols>
    <col min="6" max="6" width="13.77734375" customWidth="1"/>
    <col min="11" max="11" width="10.6640625" customWidth="1"/>
    <col min="17" max="17" width="10.77734375" customWidth="1"/>
  </cols>
  <sheetData>
    <row r="1" spans="2:17" x14ac:dyDescent="0.3">
      <c r="C1" s="2"/>
      <c r="E1" s="2"/>
      <c r="F1" s="2"/>
    </row>
    <row r="2" spans="2:17" x14ac:dyDescent="0.3">
      <c r="C2" s="6"/>
      <c r="E2" s="2"/>
      <c r="F2" s="2"/>
    </row>
    <row r="3" spans="2:17" x14ac:dyDescent="0.3">
      <c r="B3" s="152" t="s">
        <v>30</v>
      </c>
      <c r="C3" s="153"/>
      <c r="D3" s="153"/>
      <c r="E3" s="17">
        <v>600</v>
      </c>
      <c r="F3" s="25"/>
    </row>
    <row r="4" spans="2:17" x14ac:dyDescent="0.3">
      <c r="F4" s="4"/>
    </row>
    <row r="5" spans="2:17" x14ac:dyDescent="0.3">
      <c r="B5" s="152" t="s">
        <v>31</v>
      </c>
      <c r="C5" s="153"/>
      <c r="D5" s="153"/>
      <c r="E5" s="18">
        <f>(1/(E3))*10^7</f>
        <v>16666.666666666668</v>
      </c>
      <c r="F5" s="26"/>
    </row>
    <row r="6" spans="2:17" x14ac:dyDescent="0.3">
      <c r="B6" s="2"/>
      <c r="C6" s="2"/>
      <c r="D6" s="2"/>
      <c r="E6" s="2"/>
      <c r="F6" s="2"/>
    </row>
    <row r="7" spans="2:17" x14ac:dyDescent="0.3">
      <c r="C7" s="7"/>
      <c r="E7" s="2"/>
      <c r="F7" s="2"/>
    </row>
    <row r="8" spans="2:17" x14ac:dyDescent="0.3">
      <c r="B8" s="187" t="s">
        <v>28</v>
      </c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9"/>
    </row>
    <row r="9" spans="2:17" x14ac:dyDescent="0.3">
      <c r="B9" s="21"/>
      <c r="C9" s="23" t="s">
        <v>32</v>
      </c>
      <c r="D9" s="154" t="s">
        <v>33</v>
      </c>
      <c r="E9" s="154"/>
      <c r="F9" s="190"/>
      <c r="G9" s="161" t="s">
        <v>34</v>
      </c>
      <c r="H9" s="161" t="s">
        <v>34</v>
      </c>
      <c r="I9" s="154"/>
      <c r="J9" s="34"/>
      <c r="K9" s="34"/>
      <c r="L9" s="34"/>
      <c r="M9" s="34"/>
      <c r="N9" s="34"/>
      <c r="O9" s="34"/>
      <c r="P9" s="34"/>
      <c r="Q9" s="34"/>
    </row>
    <row r="10" spans="2:17" x14ac:dyDescent="0.3">
      <c r="B10" s="19"/>
      <c r="C10" s="24" t="s">
        <v>1</v>
      </c>
      <c r="D10" s="20" t="s">
        <v>35</v>
      </c>
      <c r="E10" s="24" t="s">
        <v>0</v>
      </c>
      <c r="F10" s="191"/>
      <c r="G10" s="157"/>
      <c r="H10" s="157"/>
      <c r="I10" s="157"/>
      <c r="J10" s="35"/>
      <c r="K10" s="35"/>
      <c r="L10" s="35"/>
      <c r="M10" s="35"/>
      <c r="N10" s="35"/>
      <c r="O10" s="35"/>
      <c r="P10" s="35"/>
      <c r="Q10" s="35"/>
    </row>
    <row r="11" spans="2:17" x14ac:dyDescent="0.3">
      <c r="B11" s="156" t="s">
        <v>26</v>
      </c>
      <c r="C11" s="157">
        <v>0</v>
      </c>
      <c r="D11" s="155">
        <v>310.5</v>
      </c>
      <c r="E11" s="24">
        <v>19</v>
      </c>
      <c r="F11" s="27"/>
      <c r="G11" s="204">
        <f>(D11+(AVERAGE(E11:E13)/60))</f>
        <v>310.8</v>
      </c>
      <c r="H11" s="171">
        <v>0</v>
      </c>
      <c r="I11" s="171">
        <v>0</v>
      </c>
      <c r="J11" s="36">
        <v>0</v>
      </c>
      <c r="K11" s="36">
        <v>0</v>
      </c>
      <c r="L11" s="36">
        <v>0</v>
      </c>
      <c r="M11" s="79">
        <f>(E11-E13)/2</f>
        <v>0.5</v>
      </c>
      <c r="N11" s="74">
        <f>M11/60</f>
        <v>8.3333333333333332E-3</v>
      </c>
      <c r="O11" s="36">
        <v>0</v>
      </c>
      <c r="P11" s="36">
        <v>0</v>
      </c>
      <c r="Q11" s="36">
        <v>0</v>
      </c>
    </row>
    <row r="12" spans="2:17" x14ac:dyDescent="0.3">
      <c r="B12" s="156"/>
      <c r="C12" s="157"/>
      <c r="D12" s="155"/>
      <c r="E12" s="24">
        <v>17</v>
      </c>
      <c r="F12" s="27"/>
      <c r="G12" s="204"/>
      <c r="H12" s="171"/>
      <c r="I12" s="171"/>
      <c r="J12" s="36"/>
      <c r="K12" s="36"/>
      <c r="L12" s="36"/>
      <c r="M12" s="79"/>
      <c r="N12" s="74"/>
      <c r="O12" s="36"/>
      <c r="P12" s="36"/>
      <c r="Q12" s="36"/>
    </row>
    <row r="13" spans="2:17" x14ac:dyDescent="0.3">
      <c r="B13" s="156"/>
      <c r="C13" s="157"/>
      <c r="D13" s="155"/>
      <c r="E13" s="24">
        <v>18</v>
      </c>
      <c r="F13" s="28"/>
      <c r="G13" s="204"/>
      <c r="H13" s="171"/>
      <c r="I13" s="171"/>
      <c r="J13" s="36"/>
      <c r="K13" s="36"/>
      <c r="L13" s="36"/>
      <c r="M13" s="79"/>
      <c r="N13" s="74"/>
      <c r="O13" s="36"/>
      <c r="P13" s="36"/>
      <c r="Q13" s="36"/>
    </row>
    <row r="14" spans="2:17" x14ac:dyDescent="0.3">
      <c r="B14" s="137" t="s">
        <v>2</v>
      </c>
      <c r="C14" s="149">
        <v>1</v>
      </c>
      <c r="D14" s="143">
        <v>331.5</v>
      </c>
      <c r="E14" s="8">
        <v>1</v>
      </c>
      <c r="F14" s="143">
        <f>(G17+G14)/2</f>
        <v>310.80833333333334</v>
      </c>
      <c r="G14" s="62">
        <f>(D14+(AVERAGE(E14:E16)/60))</f>
        <v>331.53888888888889</v>
      </c>
      <c r="H14" s="82">
        <f>G14-$G$11</f>
        <v>20.73888888888888</v>
      </c>
      <c r="I14" s="49">
        <f>($E$5*SIN(RADIANS(H14)))/C14</f>
        <v>5901.8280799931317</v>
      </c>
      <c r="J14" s="53">
        <f>SUM(I14:I25)/4</f>
        <v>5889.7520417479063</v>
      </c>
      <c r="K14" s="63">
        <v>5890</v>
      </c>
      <c r="L14" s="76">
        <f>(E16-E14)/2</f>
        <v>1.5</v>
      </c>
      <c r="M14" s="62">
        <f t="shared" ref="M14" si="0">L14/60</f>
        <v>2.5000000000000001E-2</v>
      </c>
      <c r="N14" s="62">
        <f>SQRT(((M14^2)+($N$11^2)))</f>
        <v>2.6352313834736497E-2</v>
      </c>
      <c r="O14" s="53">
        <f>ABS(($E$5/C14)*COS(RADIANS(H14))*(N14))</f>
        <v>410.7464437290954</v>
      </c>
      <c r="P14" s="49">
        <f>AVERAGE(O14:O25)</f>
        <v>261.75421186233444</v>
      </c>
      <c r="Q14" s="32">
        <f>(ABS(J14-K14)/K14)*100</f>
        <v>4.2098175228126892E-3</v>
      </c>
    </row>
    <row r="15" spans="2:17" x14ac:dyDescent="0.3">
      <c r="B15" s="138"/>
      <c r="C15" s="150"/>
      <c r="D15" s="144"/>
      <c r="E15" s="8">
        <v>2</v>
      </c>
      <c r="F15" s="144"/>
      <c r="G15" s="62"/>
      <c r="H15" s="83"/>
      <c r="I15" s="50"/>
      <c r="J15" s="53"/>
      <c r="K15" s="63"/>
      <c r="L15" s="76"/>
      <c r="M15" s="62"/>
      <c r="N15" s="63"/>
      <c r="O15" s="53"/>
      <c r="P15" s="50"/>
      <c r="Q15" s="32"/>
    </row>
    <row r="16" spans="2:17" x14ac:dyDescent="0.3">
      <c r="B16" s="138"/>
      <c r="C16" s="151"/>
      <c r="D16" s="145"/>
      <c r="E16" s="8">
        <v>4</v>
      </c>
      <c r="F16" s="144"/>
      <c r="G16" s="62"/>
      <c r="H16" s="84"/>
      <c r="I16" s="51"/>
      <c r="J16" s="53"/>
      <c r="K16" s="63"/>
      <c r="L16" s="76"/>
      <c r="M16" s="62"/>
      <c r="N16" s="63"/>
      <c r="O16" s="53"/>
      <c r="P16" s="50"/>
      <c r="Q16" s="32"/>
    </row>
    <row r="17" spans="2:17" x14ac:dyDescent="0.3">
      <c r="B17" s="138"/>
      <c r="C17" s="149">
        <v>-1</v>
      </c>
      <c r="D17" s="143">
        <v>290</v>
      </c>
      <c r="E17" s="8">
        <v>6</v>
      </c>
      <c r="F17" s="144"/>
      <c r="G17" s="62">
        <f>(D17+(AVERAGE(E17:E19)/60))</f>
        <v>290.07777777777778</v>
      </c>
      <c r="H17" s="82">
        <f t="shared" ref="H17" si="1">G17-$G$11</f>
        <v>-20.722222222222229</v>
      </c>
      <c r="I17" s="49">
        <f>($E$5*SIN(RADIANS(H17)))/C17</f>
        <v>5897.2938339181419</v>
      </c>
      <c r="J17" s="53"/>
      <c r="K17" s="63"/>
      <c r="L17" s="76">
        <f>(E17-E19)/2</f>
        <v>1.5</v>
      </c>
      <c r="M17" s="62">
        <f t="shared" ref="M17" si="2">L17/60</f>
        <v>2.5000000000000001E-2</v>
      </c>
      <c r="N17" s="62">
        <f t="shared" ref="N17" si="3">SQRT(((M17^2)+($N$11^2)))</f>
        <v>2.6352313834736497E-2</v>
      </c>
      <c r="O17" s="53">
        <f>ABS(($E$5/C17)*COS(RADIANS(H17))*(N17))</f>
        <v>410.79166727035278</v>
      </c>
      <c r="P17" s="50"/>
      <c r="Q17" s="32"/>
    </row>
    <row r="18" spans="2:17" x14ac:dyDescent="0.3">
      <c r="B18" s="138"/>
      <c r="C18" s="150"/>
      <c r="D18" s="144"/>
      <c r="E18" s="8">
        <v>5</v>
      </c>
      <c r="F18" s="144"/>
      <c r="G18" s="62"/>
      <c r="H18" s="83"/>
      <c r="I18" s="50"/>
      <c r="J18" s="53"/>
      <c r="K18" s="63"/>
      <c r="L18" s="76"/>
      <c r="M18" s="62"/>
      <c r="N18" s="63"/>
      <c r="O18" s="53"/>
      <c r="P18" s="50"/>
      <c r="Q18" s="32"/>
    </row>
    <row r="19" spans="2:17" x14ac:dyDescent="0.3">
      <c r="B19" s="138"/>
      <c r="C19" s="151"/>
      <c r="D19" s="145"/>
      <c r="E19" s="8">
        <v>3</v>
      </c>
      <c r="F19" s="145"/>
      <c r="G19" s="62"/>
      <c r="H19" s="84"/>
      <c r="I19" s="51"/>
      <c r="J19" s="53"/>
      <c r="K19" s="63"/>
      <c r="L19" s="76"/>
      <c r="M19" s="62"/>
      <c r="N19" s="63"/>
      <c r="O19" s="53"/>
      <c r="P19" s="50"/>
      <c r="Q19" s="32"/>
    </row>
    <row r="20" spans="2:17" x14ac:dyDescent="0.3">
      <c r="B20" s="138"/>
      <c r="C20" s="146">
        <v>2</v>
      </c>
      <c r="D20" s="143">
        <v>355.5</v>
      </c>
      <c r="E20" s="8">
        <v>22</v>
      </c>
      <c r="F20" s="143">
        <f t="shared" ref="F20" si="4">(G23+G20)/2</f>
        <v>310.98333333333335</v>
      </c>
      <c r="G20" s="62">
        <f>(D20+(AVERAGE(E20:E22)/60))</f>
        <v>355.86111111111109</v>
      </c>
      <c r="H20" s="82">
        <f t="shared" ref="H20" si="5">G20-$G$11</f>
        <v>45.061111111111074</v>
      </c>
      <c r="I20" s="49">
        <f>($E$5*SIN(RADIANS(H20)))/C20</f>
        <v>5898.838099395839</v>
      </c>
      <c r="J20" s="53"/>
      <c r="K20" s="63"/>
      <c r="L20" s="76">
        <f>(E22-E20)/2</f>
        <v>0.5</v>
      </c>
      <c r="M20" s="62">
        <f t="shared" ref="M20" si="6">L20/60</f>
        <v>8.3333333333333332E-3</v>
      </c>
      <c r="N20" s="62">
        <f t="shared" ref="N20" si="7">SQRT(((M20^2)+($N$11^2)))</f>
        <v>1.1785113019775792E-2</v>
      </c>
      <c r="O20" s="53">
        <f>ABS(($E$5/C20)*COS(RADIANS(H20))*(N20))</f>
        <v>69.370336201154345</v>
      </c>
      <c r="P20" s="50"/>
      <c r="Q20" s="32"/>
    </row>
    <row r="21" spans="2:17" x14ac:dyDescent="0.3">
      <c r="B21" s="138"/>
      <c r="C21" s="147"/>
      <c r="D21" s="144"/>
      <c r="E21" s="8">
        <v>20</v>
      </c>
      <c r="F21" s="144"/>
      <c r="G21" s="62"/>
      <c r="H21" s="83"/>
      <c r="I21" s="50"/>
      <c r="J21" s="53"/>
      <c r="K21" s="63"/>
      <c r="L21" s="76"/>
      <c r="M21" s="62"/>
      <c r="N21" s="63"/>
      <c r="O21" s="53"/>
      <c r="P21" s="50"/>
      <c r="Q21" s="32"/>
    </row>
    <row r="22" spans="2:17" x14ac:dyDescent="0.3">
      <c r="B22" s="138"/>
      <c r="C22" s="148"/>
      <c r="D22" s="145"/>
      <c r="E22" s="8">
        <v>23</v>
      </c>
      <c r="F22" s="144"/>
      <c r="G22" s="62"/>
      <c r="H22" s="84"/>
      <c r="I22" s="51"/>
      <c r="J22" s="53"/>
      <c r="K22" s="63"/>
      <c r="L22" s="76"/>
      <c r="M22" s="62"/>
      <c r="N22" s="63"/>
      <c r="O22" s="53"/>
      <c r="P22" s="50"/>
      <c r="Q22" s="32"/>
    </row>
    <row r="23" spans="2:17" x14ac:dyDescent="0.3">
      <c r="B23" s="138"/>
      <c r="C23" s="146">
        <v>-2</v>
      </c>
      <c r="D23" s="143">
        <v>266</v>
      </c>
      <c r="E23" s="8">
        <v>5</v>
      </c>
      <c r="F23" s="144"/>
      <c r="G23" s="62">
        <f>(D23+(AVERAGE(E23:E25)/60))</f>
        <v>266.10555555555555</v>
      </c>
      <c r="H23" s="82">
        <f t="shared" ref="H23" si="8">G23-$G$11</f>
        <v>-44.694444444444457</v>
      </c>
      <c r="I23" s="49">
        <f>($E$5*SIN(RADIANS(H23)))/C23</f>
        <v>5861.0481536845155</v>
      </c>
      <c r="J23" s="53"/>
      <c r="K23" s="63"/>
      <c r="L23" s="76">
        <f>(E25-E23)/2</f>
        <v>1.5</v>
      </c>
      <c r="M23" s="62">
        <f t="shared" ref="M23" si="9">L23/60</f>
        <v>2.5000000000000001E-2</v>
      </c>
      <c r="N23" s="62">
        <f t="shared" ref="N23" si="10">SQRT(((M23^2)+($N$11^2)))</f>
        <v>2.6352313834736497E-2</v>
      </c>
      <c r="O23" s="53">
        <f>ABS(($E$5/C23)*COS(RADIANS(H23))*(N23))</f>
        <v>156.10840024873517</v>
      </c>
      <c r="P23" s="50"/>
      <c r="Q23" s="32"/>
    </row>
    <row r="24" spans="2:17" x14ac:dyDescent="0.3">
      <c r="B24" s="138"/>
      <c r="C24" s="147"/>
      <c r="D24" s="144"/>
      <c r="E24" s="8">
        <v>6</v>
      </c>
      <c r="F24" s="144"/>
      <c r="G24" s="62"/>
      <c r="H24" s="83"/>
      <c r="I24" s="50"/>
      <c r="J24" s="53"/>
      <c r="K24" s="63"/>
      <c r="L24" s="76"/>
      <c r="M24" s="62"/>
      <c r="N24" s="63"/>
      <c r="O24" s="53"/>
      <c r="P24" s="50"/>
      <c r="Q24" s="32"/>
    </row>
    <row r="25" spans="2:17" x14ac:dyDescent="0.3">
      <c r="B25" s="139"/>
      <c r="C25" s="148"/>
      <c r="D25" s="145"/>
      <c r="E25" s="8">
        <v>8</v>
      </c>
      <c r="F25" s="145"/>
      <c r="G25" s="62"/>
      <c r="H25" s="84"/>
      <c r="I25" s="51"/>
      <c r="J25" s="53"/>
      <c r="K25" s="63"/>
      <c r="L25" s="76"/>
      <c r="M25" s="62"/>
      <c r="N25" s="63"/>
      <c r="O25" s="53"/>
      <c r="P25" s="51"/>
      <c r="Q25" s="32"/>
    </row>
    <row r="26" spans="2:17" x14ac:dyDescent="0.3">
      <c r="B26" s="99" t="s">
        <v>5</v>
      </c>
      <c r="C26" s="162">
        <v>1</v>
      </c>
      <c r="D26" s="165">
        <v>330.5</v>
      </c>
      <c r="E26" s="14">
        <v>14</v>
      </c>
      <c r="F26" s="165">
        <f>(G29+G26)/2</f>
        <v>310.78055555555557</v>
      </c>
      <c r="G26" s="37">
        <f>(D26+(AVERAGE(E26:E28)/60))</f>
        <v>330.75555555555553</v>
      </c>
      <c r="H26" s="175">
        <f t="shared" ref="H26" si="11">G26-$G$11</f>
        <v>19.95555555555552</v>
      </c>
      <c r="I26" s="54">
        <f>($E$5*SIN(RADIANS(H26)))/C26</f>
        <v>5688.1853192994458</v>
      </c>
      <c r="J26" s="64">
        <f>(I26+I29)/2</f>
        <v>5693.5012142355172</v>
      </c>
      <c r="K26" s="68">
        <v>5621</v>
      </c>
      <c r="L26" s="80">
        <f>(E28-E26)/2</f>
        <v>1</v>
      </c>
      <c r="M26" s="37">
        <f t="shared" ref="M26" si="12">L26/60</f>
        <v>1.6666666666666666E-2</v>
      </c>
      <c r="N26" s="37">
        <f t="shared" ref="N26" si="13">SQRT(((M26^2)+($N$11^2)))</f>
        <v>1.8633899812498248E-2</v>
      </c>
      <c r="O26" s="64">
        <f>ABS(($E$5/C26)*COS(RADIANS(H26))*(N26))</f>
        <v>291.91794268388691</v>
      </c>
      <c r="P26" s="54">
        <f>AVERAGE(O26:O31)</f>
        <v>238.24875900791568</v>
      </c>
      <c r="Q26" s="37">
        <f>(ABS(J26-K26)/K26)*100</f>
        <v>1.2898276860970856</v>
      </c>
    </row>
    <row r="27" spans="2:17" x14ac:dyDescent="0.3">
      <c r="B27" s="100"/>
      <c r="C27" s="163"/>
      <c r="D27" s="166"/>
      <c r="E27" s="14">
        <v>16</v>
      </c>
      <c r="F27" s="166"/>
      <c r="G27" s="37"/>
      <c r="H27" s="176"/>
      <c r="I27" s="55"/>
      <c r="J27" s="68"/>
      <c r="K27" s="68"/>
      <c r="L27" s="80"/>
      <c r="M27" s="37"/>
      <c r="N27" s="68"/>
      <c r="O27" s="64"/>
      <c r="P27" s="55"/>
      <c r="Q27" s="37"/>
    </row>
    <row r="28" spans="2:17" x14ac:dyDescent="0.3">
      <c r="B28" s="100"/>
      <c r="C28" s="164"/>
      <c r="D28" s="167"/>
      <c r="E28" s="14">
        <v>16</v>
      </c>
      <c r="F28" s="166"/>
      <c r="G28" s="37"/>
      <c r="H28" s="177"/>
      <c r="I28" s="56"/>
      <c r="J28" s="68"/>
      <c r="K28" s="68"/>
      <c r="L28" s="80"/>
      <c r="M28" s="37"/>
      <c r="N28" s="68"/>
      <c r="O28" s="64"/>
      <c r="P28" s="55"/>
      <c r="Q28" s="37"/>
    </row>
    <row r="29" spans="2:17" x14ac:dyDescent="0.3">
      <c r="B29" s="100"/>
      <c r="C29" s="162">
        <v>-1</v>
      </c>
      <c r="D29" s="165">
        <v>290.5</v>
      </c>
      <c r="E29" s="14">
        <v>19</v>
      </c>
      <c r="F29" s="166"/>
      <c r="G29" s="37">
        <f>(D29+(AVERAGE(E29:E31)/60))</f>
        <v>290.80555555555554</v>
      </c>
      <c r="H29" s="175">
        <f t="shared" ref="H29" si="14">G29-$G$11</f>
        <v>-19.994444444444468</v>
      </c>
      <c r="I29" s="54">
        <f>($E$5*SIN(RADIANS(H29)))/C29</f>
        <v>5698.8171091715876</v>
      </c>
      <c r="J29" s="68"/>
      <c r="K29" s="68"/>
      <c r="L29" s="80">
        <f>(E29-E31)/2</f>
        <v>0.5</v>
      </c>
      <c r="M29" s="37">
        <f t="shared" ref="M29" si="15">L29/60</f>
        <v>8.3333333333333332E-3</v>
      </c>
      <c r="N29" s="37">
        <f t="shared" ref="N29" si="16">SQRT(((M29^2)+($N$11^2)))</f>
        <v>1.1785113019775792E-2</v>
      </c>
      <c r="O29" s="64">
        <f>ABS(($E$5/C29)*COS(RADIANS(H29))*(N29))</f>
        <v>184.57957533194448</v>
      </c>
      <c r="P29" s="55"/>
      <c r="Q29" s="37"/>
    </row>
    <row r="30" spans="2:17" x14ac:dyDescent="0.3">
      <c r="B30" s="100"/>
      <c r="C30" s="163"/>
      <c r="D30" s="166"/>
      <c r="E30" s="14">
        <v>18</v>
      </c>
      <c r="F30" s="166"/>
      <c r="G30" s="37"/>
      <c r="H30" s="176"/>
      <c r="I30" s="55"/>
      <c r="J30" s="68"/>
      <c r="K30" s="68"/>
      <c r="L30" s="80"/>
      <c r="M30" s="37"/>
      <c r="N30" s="68"/>
      <c r="O30" s="64"/>
      <c r="P30" s="55"/>
      <c r="Q30" s="37"/>
    </row>
    <row r="31" spans="2:17" x14ac:dyDescent="0.3">
      <c r="B31" s="101"/>
      <c r="C31" s="164"/>
      <c r="D31" s="167"/>
      <c r="E31" s="14">
        <v>18</v>
      </c>
      <c r="F31" s="167"/>
      <c r="G31" s="37"/>
      <c r="H31" s="177"/>
      <c r="I31" s="56"/>
      <c r="J31" s="68"/>
      <c r="K31" s="68"/>
      <c r="L31" s="80"/>
      <c r="M31" s="37"/>
      <c r="N31" s="68"/>
      <c r="O31" s="64"/>
      <c r="P31" s="56"/>
      <c r="Q31" s="37"/>
    </row>
    <row r="32" spans="2:17" x14ac:dyDescent="0.3">
      <c r="B32" s="96" t="s">
        <v>7</v>
      </c>
      <c r="C32" s="158">
        <v>1</v>
      </c>
      <c r="D32" s="168">
        <v>328</v>
      </c>
      <c r="E32" s="15">
        <v>13</v>
      </c>
      <c r="F32" s="168">
        <f t="shared" ref="F32" si="17">(G35+G32)/2</f>
        <v>310.79444444444448</v>
      </c>
      <c r="G32" s="38">
        <f>(D32+(AVERAGE(E32:E34)/60))</f>
        <v>328.21111111111111</v>
      </c>
      <c r="H32" s="172">
        <f t="shared" ref="H32" si="18">G32-$G$11</f>
        <v>17.411111111111097</v>
      </c>
      <c r="I32" s="57">
        <f>($E$5*SIN(RADIANS(H32)))/C32</f>
        <v>4987.0973023072029</v>
      </c>
      <c r="J32" s="65">
        <f>(I32+I35)/2</f>
        <v>4988.6392575516475</v>
      </c>
      <c r="K32" s="69">
        <v>5071</v>
      </c>
      <c r="L32" s="81">
        <f>(E32-E34)/2</f>
        <v>0.5</v>
      </c>
      <c r="M32" s="38">
        <f t="shared" ref="M32" si="19">L32/60</f>
        <v>8.3333333333333332E-3</v>
      </c>
      <c r="N32" s="38">
        <f t="shared" ref="N32" si="20">SQRT(((M32^2)+($N$11^2)))</f>
        <v>1.1785113019775792E-2</v>
      </c>
      <c r="O32" s="65">
        <f>ABS(($E$5/C32)*COS(RADIANS(H32))*(N32))</f>
        <v>187.41910783762819</v>
      </c>
      <c r="P32" s="57">
        <f>AVERAGE(O32:O37)</f>
        <v>303.23773968903168</v>
      </c>
      <c r="Q32" s="38">
        <f>(ABS(J32-K32)/K32)*100</f>
        <v>1.6241518920992415</v>
      </c>
    </row>
    <row r="33" spans="2:17" x14ac:dyDescent="0.3">
      <c r="B33" s="97"/>
      <c r="C33" s="159"/>
      <c r="D33" s="169"/>
      <c r="E33" s="15">
        <v>13</v>
      </c>
      <c r="F33" s="169"/>
      <c r="G33" s="38"/>
      <c r="H33" s="173"/>
      <c r="I33" s="58"/>
      <c r="J33" s="69"/>
      <c r="K33" s="69"/>
      <c r="L33" s="81"/>
      <c r="M33" s="38"/>
      <c r="N33" s="69"/>
      <c r="O33" s="65"/>
      <c r="P33" s="58"/>
      <c r="Q33" s="38"/>
    </row>
    <row r="34" spans="2:17" x14ac:dyDescent="0.3">
      <c r="B34" s="97"/>
      <c r="C34" s="160"/>
      <c r="D34" s="170"/>
      <c r="E34" s="15">
        <v>12</v>
      </c>
      <c r="F34" s="169"/>
      <c r="G34" s="38"/>
      <c r="H34" s="174"/>
      <c r="I34" s="59"/>
      <c r="J34" s="69"/>
      <c r="K34" s="69"/>
      <c r="L34" s="81"/>
      <c r="M34" s="38"/>
      <c r="N34" s="69"/>
      <c r="O34" s="65"/>
      <c r="P34" s="58"/>
      <c r="Q34" s="38"/>
    </row>
    <row r="35" spans="2:17" x14ac:dyDescent="0.3">
      <c r="B35" s="97"/>
      <c r="C35" s="158">
        <v>-1</v>
      </c>
      <c r="D35" s="168">
        <v>293</v>
      </c>
      <c r="E35" s="15">
        <v>21</v>
      </c>
      <c r="F35" s="169"/>
      <c r="G35" s="38">
        <f>(D35+(AVERAGE(E35:E37)/60))</f>
        <v>293.37777777777779</v>
      </c>
      <c r="H35" s="172">
        <f t="shared" ref="H35" si="21">G35-$G$11</f>
        <v>-17.422222222222217</v>
      </c>
      <c r="I35" s="57">
        <f>($E$5*SIN(RADIANS(H35)))/C35</f>
        <v>4990.181212796092</v>
      </c>
      <c r="J35" s="69"/>
      <c r="K35" s="69"/>
      <c r="L35" s="81">
        <f>(E36-E35)/2</f>
        <v>1.5</v>
      </c>
      <c r="M35" s="38">
        <f t="shared" ref="M35" si="22">L35/60</f>
        <v>2.5000000000000001E-2</v>
      </c>
      <c r="N35" s="38">
        <f t="shared" ref="N35" si="23">SQRT(((M35^2)+($N$11^2)))</f>
        <v>2.6352313834736497E-2</v>
      </c>
      <c r="O35" s="65">
        <f>ABS(($E$5/C35)*COS(RADIANS(H35))*(N35))</f>
        <v>419.05637154043518</v>
      </c>
      <c r="P35" s="58"/>
      <c r="Q35" s="38"/>
    </row>
    <row r="36" spans="2:17" x14ac:dyDescent="0.3">
      <c r="B36" s="97"/>
      <c r="C36" s="159"/>
      <c r="D36" s="169"/>
      <c r="E36" s="15">
        <v>24</v>
      </c>
      <c r="F36" s="169"/>
      <c r="G36" s="38"/>
      <c r="H36" s="173"/>
      <c r="I36" s="58"/>
      <c r="J36" s="69"/>
      <c r="K36" s="69"/>
      <c r="L36" s="81"/>
      <c r="M36" s="38"/>
      <c r="N36" s="69"/>
      <c r="O36" s="65"/>
      <c r="P36" s="58"/>
      <c r="Q36" s="38"/>
    </row>
    <row r="37" spans="2:17" x14ac:dyDescent="0.3">
      <c r="B37" s="98"/>
      <c r="C37" s="160"/>
      <c r="D37" s="170"/>
      <c r="E37" s="15">
        <v>23</v>
      </c>
      <c r="F37" s="170"/>
      <c r="G37" s="38"/>
      <c r="H37" s="174"/>
      <c r="I37" s="59"/>
      <c r="J37" s="69"/>
      <c r="K37" s="69"/>
      <c r="L37" s="81"/>
      <c r="M37" s="38"/>
      <c r="N37" s="69"/>
      <c r="O37" s="65"/>
      <c r="P37" s="59"/>
      <c r="Q37" s="38"/>
    </row>
    <row r="38" spans="2:17" x14ac:dyDescent="0.3">
      <c r="C38" s="2"/>
      <c r="D38" s="3"/>
      <c r="E38" s="2"/>
      <c r="F38" s="2"/>
    </row>
    <row r="39" spans="2:17" x14ac:dyDescent="0.3">
      <c r="C39" s="2"/>
      <c r="D39" s="3"/>
      <c r="E39" s="2"/>
      <c r="F39" s="2"/>
    </row>
    <row r="40" spans="2:17" x14ac:dyDescent="0.3">
      <c r="B40" s="187" t="s">
        <v>27</v>
      </c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9"/>
    </row>
    <row r="41" spans="2:17" x14ac:dyDescent="0.3">
      <c r="B41" s="21"/>
      <c r="C41" s="23" t="s">
        <v>32</v>
      </c>
      <c r="D41" s="154" t="s">
        <v>33</v>
      </c>
      <c r="E41" s="154"/>
      <c r="F41" s="190"/>
      <c r="G41" s="154" t="s">
        <v>34</v>
      </c>
      <c r="H41" s="154" t="s">
        <v>34</v>
      </c>
      <c r="I41" s="154"/>
      <c r="J41" s="105"/>
      <c r="K41" s="34"/>
      <c r="L41" s="34"/>
      <c r="M41" s="34"/>
      <c r="N41" s="34"/>
      <c r="O41" s="34"/>
      <c r="P41" s="39"/>
      <c r="Q41" s="39"/>
    </row>
    <row r="42" spans="2:17" x14ac:dyDescent="0.3">
      <c r="B42" s="19"/>
      <c r="C42" s="24" t="s">
        <v>1</v>
      </c>
      <c r="D42" s="20" t="s">
        <v>36</v>
      </c>
      <c r="E42" s="24" t="s">
        <v>0</v>
      </c>
      <c r="F42" s="154"/>
      <c r="G42" s="157"/>
      <c r="H42" s="157"/>
      <c r="I42" s="157"/>
      <c r="J42" s="106"/>
      <c r="K42" s="35"/>
      <c r="L42" s="35"/>
      <c r="M42" s="35"/>
      <c r="N42" s="35"/>
      <c r="O42" s="35"/>
      <c r="P42" s="36"/>
      <c r="Q42" s="36"/>
    </row>
    <row r="43" spans="2:17" x14ac:dyDescent="0.3">
      <c r="B43" s="85" t="s">
        <v>3</v>
      </c>
      <c r="C43" s="102">
        <v>1</v>
      </c>
      <c r="D43" s="87">
        <v>324.5</v>
      </c>
      <c r="E43" s="16">
        <v>21</v>
      </c>
      <c r="F43" s="198">
        <f>(G43+G46)/2</f>
        <v>310.81111111111113</v>
      </c>
      <c r="G43" s="182">
        <f>D43+(AVERAGE(E43:E45)/60)</f>
        <v>324.87222222222221</v>
      </c>
      <c r="H43" s="182">
        <f>G43-$G$11</f>
        <v>14.072222222222194</v>
      </c>
      <c r="I43" s="41">
        <f>($E$5*SIN(RADIANS(H43)))/C43</f>
        <v>4052.4129325391104</v>
      </c>
      <c r="J43" s="60">
        <f>SUM(I43:I54)/4</f>
        <v>4047.3285431012441</v>
      </c>
      <c r="K43" s="71">
        <v>4047</v>
      </c>
      <c r="L43" s="77">
        <f>(E45-E43)/2</f>
        <v>1</v>
      </c>
      <c r="M43" s="70">
        <f>L43/60</f>
        <v>1.6666666666666666E-2</v>
      </c>
      <c r="N43" s="70">
        <f>SQRT(((M43^2)+($N$11^2)))</f>
        <v>1.8633899812498248E-2</v>
      </c>
      <c r="O43" s="60">
        <f>ABS(($E$5/C43)*COS(RADIANS(H43))*(N43))</f>
        <v>301.24494417263185</v>
      </c>
      <c r="P43" s="40">
        <f>AVERAGE(O43:O54)</f>
        <v>305.53935615346165</v>
      </c>
      <c r="Q43" s="29">
        <f>(ABS(J43-K43)/K43)*100</f>
        <v>8.1181888125555282E-3</v>
      </c>
    </row>
    <row r="44" spans="2:17" x14ac:dyDescent="0.3">
      <c r="B44" s="85"/>
      <c r="C44" s="102">
        <v>1</v>
      </c>
      <c r="D44" s="87">
        <v>324.5</v>
      </c>
      <c r="E44" s="9">
        <v>23</v>
      </c>
      <c r="F44" s="199"/>
      <c r="G44" s="182"/>
      <c r="H44" s="182"/>
      <c r="I44" s="41"/>
      <c r="J44" s="60"/>
      <c r="K44" s="71"/>
      <c r="L44" s="77"/>
      <c r="M44" s="70"/>
      <c r="N44" s="71"/>
      <c r="O44" s="60"/>
      <c r="P44" s="41"/>
      <c r="Q44" s="29"/>
    </row>
    <row r="45" spans="2:17" x14ac:dyDescent="0.3">
      <c r="B45" s="85"/>
      <c r="C45" s="103">
        <v>1</v>
      </c>
      <c r="D45" s="88">
        <v>324.5</v>
      </c>
      <c r="E45" s="9">
        <v>23</v>
      </c>
      <c r="F45" s="199"/>
      <c r="G45" s="183"/>
      <c r="H45" s="183"/>
      <c r="I45" s="42"/>
      <c r="J45" s="60"/>
      <c r="K45" s="71"/>
      <c r="L45" s="77"/>
      <c r="M45" s="70"/>
      <c r="N45" s="71"/>
      <c r="O45" s="60"/>
      <c r="P45" s="41"/>
      <c r="Q45" s="29"/>
    </row>
    <row r="46" spans="2:17" x14ac:dyDescent="0.3">
      <c r="B46" s="85"/>
      <c r="C46" s="104">
        <v>-1</v>
      </c>
      <c r="D46" s="89">
        <v>296.5</v>
      </c>
      <c r="E46" s="9">
        <v>14</v>
      </c>
      <c r="F46" s="199"/>
      <c r="G46" s="182">
        <f>D46+(AVERAGE(E46:E48)/60)</f>
        <v>296.75</v>
      </c>
      <c r="H46" s="182">
        <f t="shared" ref="H46" si="24">G46-$G$11</f>
        <v>-14.050000000000011</v>
      </c>
      <c r="I46" s="40">
        <f>($E$5*SIN(RADIANS(H46)))/C46</f>
        <v>4046.1424355374938</v>
      </c>
      <c r="J46" s="60"/>
      <c r="K46" s="71"/>
      <c r="L46" s="77">
        <f>(E47-E46)/2</f>
        <v>1</v>
      </c>
      <c r="M46" s="70">
        <f t="shared" ref="M46" si="25">L46/60</f>
        <v>1.6666666666666666E-2</v>
      </c>
      <c r="N46" s="70">
        <f t="shared" ref="N46" si="26">SQRT(((M46^2)+($N$11^2)))</f>
        <v>1.8633899812498248E-2</v>
      </c>
      <c r="O46" s="60">
        <f>ABS(($E$5/C46)*COS(RADIANS(H46))*(N46))</f>
        <v>301.27420901407368</v>
      </c>
      <c r="P46" s="41"/>
      <c r="Q46" s="29"/>
    </row>
    <row r="47" spans="2:17" x14ac:dyDescent="0.3">
      <c r="B47" s="85"/>
      <c r="C47" s="102">
        <v>-1</v>
      </c>
      <c r="D47" s="87">
        <v>297</v>
      </c>
      <c r="E47" s="9">
        <v>16</v>
      </c>
      <c r="F47" s="199"/>
      <c r="G47" s="182"/>
      <c r="H47" s="182"/>
      <c r="I47" s="41"/>
      <c r="J47" s="60"/>
      <c r="K47" s="71"/>
      <c r="L47" s="77"/>
      <c r="M47" s="70"/>
      <c r="N47" s="71"/>
      <c r="O47" s="60"/>
      <c r="P47" s="41"/>
      <c r="Q47" s="29"/>
    </row>
    <row r="48" spans="2:17" x14ac:dyDescent="0.3">
      <c r="B48" s="85"/>
      <c r="C48" s="103">
        <v>-1</v>
      </c>
      <c r="D48" s="88">
        <v>297</v>
      </c>
      <c r="E48" s="9">
        <v>15</v>
      </c>
      <c r="F48" s="200"/>
      <c r="G48" s="183"/>
      <c r="H48" s="183"/>
      <c r="I48" s="42"/>
      <c r="J48" s="60"/>
      <c r="K48" s="71"/>
      <c r="L48" s="77"/>
      <c r="M48" s="70"/>
      <c r="N48" s="71"/>
      <c r="O48" s="60"/>
      <c r="P48" s="41"/>
      <c r="Q48" s="29"/>
    </row>
    <row r="49" spans="2:17" x14ac:dyDescent="0.3">
      <c r="B49" s="85"/>
      <c r="C49" s="93">
        <v>2</v>
      </c>
      <c r="D49" s="90">
        <v>339.5</v>
      </c>
      <c r="E49" s="9">
        <v>23</v>
      </c>
      <c r="F49" s="198">
        <f t="shared" ref="F49" si="27">(G49+G52)/2</f>
        <v>310.79166666666663</v>
      </c>
      <c r="G49" s="182">
        <f>D49+(AVERAGE(E49:E51)/60)</f>
        <v>339.83333333333331</v>
      </c>
      <c r="H49" s="182">
        <f t="shared" ref="H49" si="28">G49-$G$11</f>
        <v>29.033333333333303</v>
      </c>
      <c r="I49" s="40">
        <f>($E$5*SIN(RADIANS(H49)))/C49</f>
        <v>4044.3197607677439</v>
      </c>
      <c r="J49" s="60"/>
      <c r="K49" s="71"/>
      <c r="L49" s="77">
        <f>(E49-E50)/2</f>
        <v>3</v>
      </c>
      <c r="M49" s="70">
        <f t="shared" ref="M49" si="29">L49/60</f>
        <v>0.05</v>
      </c>
      <c r="N49" s="70">
        <f t="shared" ref="N49" si="30">SQRT(((M49^2)+($N$11^2)))</f>
        <v>5.0689687752485169E-2</v>
      </c>
      <c r="O49" s="60">
        <f>ABS(($E$5/C49)*COS(RADIANS(H49))*(N49))</f>
        <v>369.33246073274216</v>
      </c>
      <c r="P49" s="41"/>
      <c r="Q49" s="29"/>
    </row>
    <row r="50" spans="2:17" x14ac:dyDescent="0.3">
      <c r="B50" s="85"/>
      <c r="C50" s="94">
        <v>2</v>
      </c>
      <c r="D50" s="91">
        <v>339</v>
      </c>
      <c r="E50" s="9">
        <v>17</v>
      </c>
      <c r="F50" s="199"/>
      <c r="G50" s="182"/>
      <c r="H50" s="182"/>
      <c r="I50" s="41"/>
      <c r="J50" s="60"/>
      <c r="K50" s="71"/>
      <c r="L50" s="77"/>
      <c r="M50" s="70"/>
      <c r="N50" s="71"/>
      <c r="O50" s="60"/>
      <c r="P50" s="41"/>
      <c r="Q50" s="29"/>
    </row>
    <row r="51" spans="2:17" x14ac:dyDescent="0.3">
      <c r="B51" s="85"/>
      <c r="C51" s="95">
        <v>2</v>
      </c>
      <c r="D51" s="92">
        <v>339</v>
      </c>
      <c r="E51" s="9">
        <v>20</v>
      </c>
      <c r="F51" s="199"/>
      <c r="G51" s="183"/>
      <c r="H51" s="183"/>
      <c r="I51" s="42"/>
      <c r="J51" s="60"/>
      <c r="K51" s="71"/>
      <c r="L51" s="77"/>
      <c r="M51" s="70"/>
      <c r="N51" s="71"/>
      <c r="O51" s="60"/>
      <c r="P51" s="41"/>
      <c r="Q51" s="29"/>
    </row>
    <row r="52" spans="2:17" x14ac:dyDescent="0.3">
      <c r="B52" s="85"/>
      <c r="C52" s="93">
        <v>-2</v>
      </c>
      <c r="D52" s="90">
        <v>281.5</v>
      </c>
      <c r="E52" s="9">
        <v>17</v>
      </c>
      <c r="F52" s="199"/>
      <c r="G52" s="182">
        <f>D52+(AVERAGE(E52:E54)/60)</f>
        <v>281.75</v>
      </c>
      <c r="H52" s="182">
        <f t="shared" ref="H52" si="31">G52-$G$11</f>
        <v>-29.050000000000011</v>
      </c>
      <c r="I52" s="40">
        <f>($E$5*SIN(RADIANS(H52)))/C52</f>
        <v>4046.4390435606279</v>
      </c>
      <c r="J52" s="60"/>
      <c r="K52" s="71"/>
      <c r="L52" s="77">
        <f>(E52-E54)/2</f>
        <v>2</v>
      </c>
      <c r="M52" s="70">
        <f t="shared" ref="M52" si="32">L52/60</f>
        <v>3.3333333333333333E-2</v>
      </c>
      <c r="N52" s="70">
        <f t="shared" ref="N52" si="33">SQRT(((M52^2)+($N$11^2)))</f>
        <v>3.4359213546813837E-2</v>
      </c>
      <c r="O52" s="60">
        <f>ABS(($E$5/C52)*COS(RADIANS(H52))*(N52))</f>
        <v>250.3058106943987</v>
      </c>
      <c r="P52" s="41"/>
      <c r="Q52" s="29"/>
    </row>
    <row r="53" spans="2:17" x14ac:dyDescent="0.3">
      <c r="B53" s="85"/>
      <c r="C53" s="94">
        <v>-2</v>
      </c>
      <c r="D53" s="91">
        <v>282</v>
      </c>
      <c r="E53" s="9">
        <v>15</v>
      </c>
      <c r="F53" s="199"/>
      <c r="G53" s="182"/>
      <c r="H53" s="182"/>
      <c r="I53" s="41"/>
      <c r="J53" s="60"/>
      <c r="K53" s="71"/>
      <c r="L53" s="77"/>
      <c r="M53" s="70"/>
      <c r="N53" s="71"/>
      <c r="O53" s="60"/>
      <c r="P53" s="41"/>
      <c r="Q53" s="29"/>
    </row>
    <row r="54" spans="2:17" x14ac:dyDescent="0.3">
      <c r="B54" s="86"/>
      <c r="C54" s="95">
        <v>-2</v>
      </c>
      <c r="D54" s="92">
        <v>282</v>
      </c>
      <c r="E54" s="9">
        <v>13</v>
      </c>
      <c r="F54" s="200"/>
      <c r="G54" s="183"/>
      <c r="H54" s="183"/>
      <c r="I54" s="42"/>
      <c r="J54" s="60"/>
      <c r="K54" s="71"/>
      <c r="L54" s="77"/>
      <c r="M54" s="70"/>
      <c r="N54" s="71"/>
      <c r="O54" s="60"/>
      <c r="P54" s="42"/>
      <c r="Q54" s="29"/>
    </row>
    <row r="55" spans="2:17" x14ac:dyDescent="0.3">
      <c r="B55" s="125" t="s">
        <v>4</v>
      </c>
      <c r="C55" s="107">
        <v>1</v>
      </c>
      <c r="D55" s="128">
        <v>325.5</v>
      </c>
      <c r="E55" s="10">
        <v>28</v>
      </c>
      <c r="F55" s="201">
        <f t="shared" ref="F55" si="34">(G55+G58)/2</f>
        <v>310.8</v>
      </c>
      <c r="G55" s="178">
        <f>D55+(AVERAGE(E55:E57)/60)</f>
        <v>325.97222222222223</v>
      </c>
      <c r="H55" s="178">
        <f t="shared" ref="H55" si="35">G55-$G$11</f>
        <v>15.172222222222217</v>
      </c>
      <c r="I55" s="43">
        <f>($E$5*SIN(RADIANS(H55)))/C55</f>
        <v>4362.0215774523294</v>
      </c>
      <c r="J55" s="61">
        <f>SUM(I55:I66)/4</f>
        <v>4359.6369488575474</v>
      </c>
      <c r="K55" s="73">
        <v>4358</v>
      </c>
      <c r="L55" s="78">
        <f>(E57-E55)/2</f>
        <v>0.5</v>
      </c>
      <c r="M55" s="72">
        <f t="shared" ref="M55" si="36">L55/60</f>
        <v>8.3333333333333332E-3</v>
      </c>
      <c r="N55" s="72">
        <f t="shared" ref="N55" si="37">SQRT(((M55^2)+($N$11^2)))</f>
        <v>1.1785113019775792E-2</v>
      </c>
      <c r="O55" s="61">
        <f>ABS(($E$5/C55)*COS(RADIANS(H55))*(N55))</f>
        <v>189.57208594314682</v>
      </c>
      <c r="P55" s="43">
        <f>AVERAGE(O55:O66)</f>
        <v>160.96834897890085</v>
      </c>
      <c r="Q55" s="30">
        <f t="shared" ref="Q55" si="38">(ABS(J55-K55)/K55)*100</f>
        <v>3.7561928810174283E-2</v>
      </c>
    </row>
    <row r="56" spans="2:17" x14ac:dyDescent="0.3">
      <c r="B56" s="126"/>
      <c r="C56" s="108">
        <v>1</v>
      </c>
      <c r="D56" s="129">
        <v>325.5</v>
      </c>
      <c r="E56" s="10">
        <v>28</v>
      </c>
      <c r="F56" s="202"/>
      <c r="G56" s="178"/>
      <c r="H56" s="178"/>
      <c r="I56" s="44"/>
      <c r="J56" s="61"/>
      <c r="K56" s="73"/>
      <c r="L56" s="78"/>
      <c r="M56" s="72"/>
      <c r="N56" s="73"/>
      <c r="O56" s="61"/>
      <c r="P56" s="44"/>
      <c r="Q56" s="30"/>
    </row>
    <row r="57" spans="2:17" x14ac:dyDescent="0.3">
      <c r="B57" s="126"/>
      <c r="C57" s="109">
        <v>1</v>
      </c>
      <c r="D57" s="130">
        <v>325.5</v>
      </c>
      <c r="E57" s="10">
        <v>29</v>
      </c>
      <c r="F57" s="202"/>
      <c r="G57" s="179"/>
      <c r="H57" s="179"/>
      <c r="I57" s="45"/>
      <c r="J57" s="61"/>
      <c r="K57" s="73"/>
      <c r="L57" s="78"/>
      <c r="M57" s="72"/>
      <c r="N57" s="73"/>
      <c r="O57" s="61"/>
      <c r="P57" s="44"/>
      <c r="Q57" s="30"/>
    </row>
    <row r="58" spans="2:17" x14ac:dyDescent="0.3">
      <c r="B58" s="126"/>
      <c r="C58" s="107">
        <v>-1</v>
      </c>
      <c r="D58" s="128">
        <v>295.5</v>
      </c>
      <c r="E58" s="10">
        <v>8</v>
      </c>
      <c r="F58" s="202"/>
      <c r="G58" s="178">
        <f>D58+(AVERAGE(E58:E60)/60)</f>
        <v>295.62777777777779</v>
      </c>
      <c r="H58" s="178">
        <f t="shared" ref="H58" si="39">G58-$G$11</f>
        <v>-15.172222222222217</v>
      </c>
      <c r="I58" s="43">
        <f>($E$5*SIN(RADIANS(H58)))/C58</f>
        <v>4362.0215774523294</v>
      </c>
      <c r="J58" s="61"/>
      <c r="K58" s="73"/>
      <c r="L58" s="78">
        <f>(E58-E59)/2</f>
        <v>0.5</v>
      </c>
      <c r="M58" s="72">
        <f t="shared" ref="M58" si="40">L58/60</f>
        <v>8.3333333333333332E-3</v>
      </c>
      <c r="N58" s="72">
        <f t="shared" ref="N58" si="41">SQRT(((M58^2)+($N$11^2)))</f>
        <v>1.1785113019775792E-2</v>
      </c>
      <c r="O58" s="61">
        <f>ABS(($E$5/C58)*COS(RADIANS(H58))*(N58))</f>
        <v>189.57208594314682</v>
      </c>
      <c r="P58" s="44"/>
      <c r="Q58" s="30"/>
    </row>
    <row r="59" spans="2:17" x14ac:dyDescent="0.3">
      <c r="B59" s="126"/>
      <c r="C59" s="108">
        <v>-1</v>
      </c>
      <c r="D59" s="129">
        <v>295</v>
      </c>
      <c r="E59" s="10">
        <v>7</v>
      </c>
      <c r="F59" s="202"/>
      <c r="G59" s="178"/>
      <c r="H59" s="178"/>
      <c r="I59" s="44"/>
      <c r="J59" s="61"/>
      <c r="K59" s="73"/>
      <c r="L59" s="78"/>
      <c r="M59" s="72"/>
      <c r="N59" s="73"/>
      <c r="O59" s="61"/>
      <c r="P59" s="44"/>
      <c r="Q59" s="30"/>
    </row>
    <row r="60" spans="2:17" x14ac:dyDescent="0.3">
      <c r="B60" s="126"/>
      <c r="C60" s="109">
        <v>-1</v>
      </c>
      <c r="D60" s="130">
        <v>295</v>
      </c>
      <c r="E60" s="10">
        <v>8</v>
      </c>
      <c r="F60" s="203"/>
      <c r="G60" s="179"/>
      <c r="H60" s="179"/>
      <c r="I60" s="45"/>
      <c r="J60" s="61"/>
      <c r="K60" s="73"/>
      <c r="L60" s="78"/>
      <c r="M60" s="72"/>
      <c r="N60" s="73"/>
      <c r="O60" s="61"/>
      <c r="P60" s="44"/>
      <c r="Q60" s="30"/>
    </row>
    <row r="61" spans="2:17" x14ac:dyDescent="0.3">
      <c r="B61" s="126"/>
      <c r="C61" s="134">
        <v>2</v>
      </c>
      <c r="D61" s="131">
        <v>342</v>
      </c>
      <c r="E61" s="10">
        <v>17</v>
      </c>
      <c r="F61" s="201">
        <f t="shared" ref="F61" si="42">(G61+G64)/2</f>
        <v>310.74166666666667</v>
      </c>
      <c r="G61" s="178">
        <f>D61+(AVERAGE(E61:E63)/60)</f>
        <v>342.26666666666665</v>
      </c>
      <c r="H61" s="178">
        <f t="shared" ref="H61" si="43">G61-$G$11</f>
        <v>31.46666666666664</v>
      </c>
      <c r="I61" s="43">
        <f>($E$5*SIN(RADIANS(H61)))/C61</f>
        <v>4350.020253170147</v>
      </c>
      <c r="J61" s="61"/>
      <c r="K61" s="73"/>
      <c r="L61" s="78">
        <f>(E61-E63)/2</f>
        <v>1</v>
      </c>
      <c r="M61" s="72">
        <f t="shared" ref="M61" si="44">L61/60</f>
        <v>1.6666666666666666E-2</v>
      </c>
      <c r="N61" s="72">
        <f t="shared" ref="N61" si="45">SQRT(((M61^2)+($N$11^2)))</f>
        <v>1.8633899812498248E-2</v>
      </c>
      <c r="O61" s="61">
        <f>ABS(($E$5/C61)*COS(RADIANS(H61))*(N61))</f>
        <v>132.44727494136581</v>
      </c>
      <c r="P61" s="44"/>
      <c r="Q61" s="30"/>
    </row>
    <row r="62" spans="2:17" x14ac:dyDescent="0.3">
      <c r="B62" s="126"/>
      <c r="C62" s="135">
        <v>2</v>
      </c>
      <c r="D62" s="132">
        <v>341.5</v>
      </c>
      <c r="E62" s="10">
        <v>16</v>
      </c>
      <c r="F62" s="202"/>
      <c r="G62" s="178"/>
      <c r="H62" s="178"/>
      <c r="I62" s="44"/>
      <c r="J62" s="61"/>
      <c r="K62" s="73"/>
      <c r="L62" s="78"/>
      <c r="M62" s="72"/>
      <c r="N62" s="73"/>
      <c r="O62" s="61"/>
      <c r="P62" s="44"/>
      <c r="Q62" s="30"/>
    </row>
    <row r="63" spans="2:17" x14ac:dyDescent="0.3">
      <c r="B63" s="126"/>
      <c r="C63" s="136">
        <v>2</v>
      </c>
      <c r="D63" s="133">
        <v>341.5</v>
      </c>
      <c r="E63" s="10">
        <v>15</v>
      </c>
      <c r="F63" s="202"/>
      <c r="G63" s="179"/>
      <c r="H63" s="179"/>
      <c r="I63" s="45"/>
      <c r="J63" s="61"/>
      <c r="K63" s="73"/>
      <c r="L63" s="78"/>
      <c r="M63" s="72"/>
      <c r="N63" s="73"/>
      <c r="O63" s="61"/>
      <c r="P63" s="44"/>
      <c r="Q63" s="30"/>
    </row>
    <row r="64" spans="2:17" x14ac:dyDescent="0.3">
      <c r="B64" s="126"/>
      <c r="C64" s="134">
        <v>-2</v>
      </c>
      <c r="D64" s="131">
        <v>279</v>
      </c>
      <c r="E64" s="10">
        <v>12</v>
      </c>
      <c r="F64" s="202"/>
      <c r="G64" s="178">
        <f>D64+(AVERAGE(E64:E66)/60)</f>
        <v>279.21666666666664</v>
      </c>
      <c r="H64" s="178">
        <f t="shared" ref="H64" si="46">G64-$G$11</f>
        <v>-31.583333333333371</v>
      </c>
      <c r="I64" s="43">
        <f>($E$5*SIN(RADIANS(H64)))/C64</f>
        <v>4364.4843873553846</v>
      </c>
      <c r="J64" s="61"/>
      <c r="K64" s="73"/>
      <c r="L64" s="78">
        <f>(E66-E64)/2</f>
        <v>1</v>
      </c>
      <c r="M64" s="72">
        <f t="shared" ref="M64" si="47">L64/60</f>
        <v>1.6666666666666666E-2</v>
      </c>
      <c r="N64" s="72">
        <f t="shared" ref="N64" si="48">SQRT(((M64^2)+($N$11^2)))</f>
        <v>1.8633899812498248E-2</v>
      </c>
      <c r="O64" s="61">
        <f>ABS(($E$5/C64)*COS(RADIANS(H64))*(N64))</f>
        <v>132.28194908794396</v>
      </c>
      <c r="P64" s="44"/>
      <c r="Q64" s="30"/>
    </row>
    <row r="65" spans="2:17" x14ac:dyDescent="0.3">
      <c r="B65" s="126"/>
      <c r="C65" s="135">
        <v>-2</v>
      </c>
      <c r="D65" s="132">
        <v>277.5</v>
      </c>
      <c r="E65" s="10">
        <v>13</v>
      </c>
      <c r="F65" s="202"/>
      <c r="G65" s="178"/>
      <c r="H65" s="178"/>
      <c r="I65" s="44"/>
      <c r="J65" s="61"/>
      <c r="K65" s="73"/>
      <c r="L65" s="78"/>
      <c r="M65" s="72"/>
      <c r="N65" s="73"/>
      <c r="O65" s="61"/>
      <c r="P65" s="44"/>
      <c r="Q65" s="30"/>
    </row>
    <row r="66" spans="2:17" x14ac:dyDescent="0.3">
      <c r="B66" s="127"/>
      <c r="C66" s="136">
        <v>-2</v>
      </c>
      <c r="D66" s="133">
        <v>277.5</v>
      </c>
      <c r="E66" s="10">
        <v>14</v>
      </c>
      <c r="F66" s="203"/>
      <c r="G66" s="179"/>
      <c r="H66" s="179"/>
      <c r="I66" s="45"/>
      <c r="J66" s="61"/>
      <c r="K66" s="73"/>
      <c r="L66" s="78"/>
      <c r="M66" s="72"/>
      <c r="N66" s="73"/>
      <c r="O66" s="61"/>
      <c r="P66" s="45"/>
      <c r="Q66" s="30"/>
    </row>
    <row r="67" spans="2:17" x14ac:dyDescent="0.3">
      <c r="B67" s="110" t="s">
        <v>5</v>
      </c>
      <c r="C67" s="122">
        <v>1</v>
      </c>
      <c r="D67" s="113">
        <v>329.5</v>
      </c>
      <c r="E67" s="11">
        <v>27</v>
      </c>
      <c r="F67" s="192">
        <f t="shared" ref="F67" si="49">(G67+G70)/2</f>
        <v>310.81111111111113</v>
      </c>
      <c r="G67" s="180">
        <f>D67+(AVERAGE(E67:E69)/60)</f>
        <v>329.93333333333334</v>
      </c>
      <c r="H67" s="180">
        <f t="shared" ref="H67" si="50">G67-$G$11</f>
        <v>19.133333333333326</v>
      </c>
      <c r="I67" s="46">
        <f>($E$5*SIN(RADIANS(H67)))/C67</f>
        <v>5462.7932094177204</v>
      </c>
      <c r="J67" s="52">
        <f>SUM(I67:I78)/4</f>
        <v>5465.582714510354</v>
      </c>
      <c r="K67" s="67">
        <v>5460</v>
      </c>
      <c r="L67" s="75">
        <f>(E67-E68)/2</f>
        <v>1</v>
      </c>
      <c r="M67" s="66">
        <f t="shared" ref="M67" si="51">L67/60</f>
        <v>1.6666666666666666E-2</v>
      </c>
      <c r="N67" s="66">
        <f t="shared" ref="N67" si="52">SQRT(((M67^2)+($N$11^2)))</f>
        <v>1.8633899812498248E-2</v>
      </c>
      <c r="O67" s="52">
        <f>ABS(($E$5/C67)*COS(RADIANS(H67))*(N67))</f>
        <v>293.40888475960321</v>
      </c>
      <c r="P67" s="46">
        <f>AVERAGE(O67:O78)</f>
        <v>285.27815003593059</v>
      </c>
      <c r="Q67" s="31">
        <f t="shared" ref="Q67" si="53">(ABS(J67-K67)/K67)*100</f>
        <v>0.10224751850465166</v>
      </c>
    </row>
    <row r="68" spans="2:17" x14ac:dyDescent="0.3">
      <c r="B68" s="111"/>
      <c r="C68" s="123">
        <v>1</v>
      </c>
      <c r="D68" s="114">
        <v>329</v>
      </c>
      <c r="E68" s="11">
        <v>25</v>
      </c>
      <c r="F68" s="193"/>
      <c r="G68" s="180"/>
      <c r="H68" s="180"/>
      <c r="I68" s="47"/>
      <c r="J68" s="52"/>
      <c r="K68" s="67"/>
      <c r="L68" s="75"/>
      <c r="M68" s="66"/>
      <c r="N68" s="67"/>
      <c r="O68" s="52"/>
      <c r="P68" s="47"/>
      <c r="Q68" s="31"/>
    </row>
    <row r="69" spans="2:17" x14ac:dyDescent="0.3">
      <c r="B69" s="111"/>
      <c r="C69" s="124">
        <v>1</v>
      </c>
      <c r="D69" s="115">
        <v>329.5</v>
      </c>
      <c r="E69" s="11">
        <v>26</v>
      </c>
      <c r="F69" s="193"/>
      <c r="G69" s="181"/>
      <c r="H69" s="181"/>
      <c r="I69" s="48"/>
      <c r="J69" s="52"/>
      <c r="K69" s="67"/>
      <c r="L69" s="75"/>
      <c r="M69" s="66"/>
      <c r="N69" s="67"/>
      <c r="O69" s="52"/>
      <c r="P69" s="47"/>
      <c r="Q69" s="31"/>
    </row>
    <row r="70" spans="2:17" x14ac:dyDescent="0.3">
      <c r="B70" s="111"/>
      <c r="C70" s="122">
        <v>-1</v>
      </c>
      <c r="D70" s="113">
        <v>291.5</v>
      </c>
      <c r="E70" s="11">
        <v>10</v>
      </c>
      <c r="F70" s="193"/>
      <c r="G70" s="180">
        <f>D70+(AVERAGE(E70:E72)/60)</f>
        <v>291.68888888888887</v>
      </c>
      <c r="H70" s="180">
        <f t="shared" ref="H70" si="54">G70-$G$11</f>
        <v>-19.111111111111143</v>
      </c>
      <c r="I70" s="46">
        <f>($E$5*SIN(RADIANS(H70)))/C70</f>
        <v>5456.6857081554172</v>
      </c>
      <c r="J70" s="52"/>
      <c r="K70" s="67"/>
      <c r="L70" s="75">
        <f>(E72-E70)/2</f>
        <v>1.5</v>
      </c>
      <c r="M70" s="66">
        <f t="shared" ref="M70" si="55">L70/60</f>
        <v>2.5000000000000001E-2</v>
      </c>
      <c r="N70" s="66">
        <f t="shared" ref="N70" si="56">SQRT(((M70^2)+($N$11^2)))</f>
        <v>2.6352313834736497E-2</v>
      </c>
      <c r="O70" s="52">
        <f>ABS(($E$5/C70)*COS(RADIANS(H70))*(N70))</f>
        <v>414.99862688878449</v>
      </c>
      <c r="P70" s="47"/>
      <c r="Q70" s="31"/>
    </row>
    <row r="71" spans="2:17" x14ac:dyDescent="0.3">
      <c r="B71" s="111"/>
      <c r="C71" s="123">
        <v>-1</v>
      </c>
      <c r="D71" s="114">
        <v>290.5</v>
      </c>
      <c r="E71" s="11">
        <v>11</v>
      </c>
      <c r="F71" s="193"/>
      <c r="G71" s="180"/>
      <c r="H71" s="180"/>
      <c r="I71" s="47"/>
      <c r="J71" s="52"/>
      <c r="K71" s="67"/>
      <c r="L71" s="75"/>
      <c r="M71" s="66"/>
      <c r="N71" s="67"/>
      <c r="O71" s="52"/>
      <c r="P71" s="47"/>
      <c r="Q71" s="31"/>
    </row>
    <row r="72" spans="2:17" x14ac:dyDescent="0.3">
      <c r="B72" s="111"/>
      <c r="C72" s="124">
        <v>-1</v>
      </c>
      <c r="D72" s="115">
        <v>291</v>
      </c>
      <c r="E72" s="11">
        <v>13</v>
      </c>
      <c r="F72" s="194"/>
      <c r="G72" s="181"/>
      <c r="H72" s="181"/>
      <c r="I72" s="48"/>
      <c r="J72" s="52"/>
      <c r="K72" s="67"/>
      <c r="L72" s="75"/>
      <c r="M72" s="66"/>
      <c r="N72" s="67"/>
      <c r="O72" s="52"/>
      <c r="P72" s="47"/>
      <c r="Q72" s="31"/>
    </row>
    <row r="73" spans="2:17" x14ac:dyDescent="0.3">
      <c r="B73" s="111"/>
      <c r="C73" s="119">
        <v>2</v>
      </c>
      <c r="D73" s="116">
        <v>351.5</v>
      </c>
      <c r="E73" s="11">
        <v>21</v>
      </c>
      <c r="F73" s="192">
        <f t="shared" ref="F73" si="57">(G73+G76)/2</f>
        <v>310.78888888888889</v>
      </c>
      <c r="G73" s="180">
        <f>D73+(AVERAGE(E73:E75)/60)</f>
        <v>351.82777777777778</v>
      </c>
      <c r="H73" s="180">
        <f t="shared" ref="H73" si="58">G73-$G$11</f>
        <v>41.027777777777771</v>
      </c>
      <c r="I73" s="46">
        <f>($E$5*SIN(RADIANS(H73)))/C73</f>
        <v>5470.2070450371857</v>
      </c>
      <c r="J73" s="52"/>
      <c r="K73" s="67"/>
      <c r="L73" s="75">
        <f>(E73-E74)/2</f>
        <v>1.5</v>
      </c>
      <c r="M73" s="66">
        <f t="shared" ref="M73" si="59">L73/60</f>
        <v>2.5000000000000001E-2</v>
      </c>
      <c r="N73" s="66">
        <f t="shared" ref="N73" si="60">SQRT(((M73^2)+($N$11^2)))</f>
        <v>2.6352313834736497E-2</v>
      </c>
      <c r="O73" s="52">
        <f>ABS(($E$5/C73)*COS(RADIANS(H73))*(N73))</f>
        <v>165.6663299142914</v>
      </c>
      <c r="P73" s="47"/>
      <c r="Q73" s="31"/>
    </row>
    <row r="74" spans="2:17" x14ac:dyDescent="0.3">
      <c r="B74" s="111"/>
      <c r="C74" s="120">
        <v>2</v>
      </c>
      <c r="D74" s="117">
        <v>350</v>
      </c>
      <c r="E74" s="11">
        <v>18</v>
      </c>
      <c r="F74" s="193"/>
      <c r="G74" s="180"/>
      <c r="H74" s="180"/>
      <c r="I74" s="47"/>
      <c r="J74" s="52"/>
      <c r="K74" s="67"/>
      <c r="L74" s="75"/>
      <c r="M74" s="66"/>
      <c r="N74" s="67"/>
      <c r="O74" s="52"/>
      <c r="P74" s="47"/>
      <c r="Q74" s="31"/>
    </row>
    <row r="75" spans="2:17" x14ac:dyDescent="0.3">
      <c r="B75" s="111"/>
      <c r="C75" s="121">
        <v>2</v>
      </c>
      <c r="D75" s="118">
        <v>350</v>
      </c>
      <c r="E75" s="11">
        <v>20</v>
      </c>
      <c r="F75" s="193"/>
      <c r="G75" s="181"/>
      <c r="H75" s="181"/>
      <c r="I75" s="48"/>
      <c r="J75" s="52"/>
      <c r="K75" s="67"/>
      <c r="L75" s="75"/>
      <c r="M75" s="66"/>
      <c r="N75" s="67"/>
      <c r="O75" s="52"/>
      <c r="P75" s="47"/>
      <c r="Q75" s="31"/>
    </row>
    <row r="76" spans="2:17" x14ac:dyDescent="0.3">
      <c r="B76" s="111"/>
      <c r="C76" s="119">
        <v>-2</v>
      </c>
      <c r="D76" s="116">
        <v>269.5</v>
      </c>
      <c r="E76" s="11">
        <v>14</v>
      </c>
      <c r="F76" s="193"/>
      <c r="G76" s="180">
        <f>D76+(AVERAGE(E76:E78)/60)</f>
        <v>269.75</v>
      </c>
      <c r="H76" s="180">
        <f t="shared" ref="H76" si="61">G76-$G$11</f>
        <v>-41.050000000000011</v>
      </c>
      <c r="I76" s="46">
        <f>($E$5*SIN(RADIANS(H76)))/C76</f>
        <v>5472.6448954310918</v>
      </c>
      <c r="J76" s="52"/>
      <c r="K76" s="67"/>
      <c r="L76" s="75">
        <f>(E77-E78)/2</f>
        <v>2.5</v>
      </c>
      <c r="M76" s="66">
        <f t="shared" ref="M76" si="62">L76/60</f>
        <v>4.1666666666666664E-2</v>
      </c>
      <c r="N76" s="66">
        <f t="shared" ref="N76" si="63">SQRT(((M76^2)+($N$11^2)))</f>
        <v>4.2491829279939872E-2</v>
      </c>
      <c r="O76" s="52">
        <f>ABS(($E$5/C76)*COS(RADIANS(H76))*(N76))</f>
        <v>267.03875858104334</v>
      </c>
      <c r="P76" s="47"/>
      <c r="Q76" s="31"/>
    </row>
    <row r="77" spans="2:17" x14ac:dyDescent="0.3">
      <c r="B77" s="111"/>
      <c r="C77" s="120">
        <v>-2</v>
      </c>
      <c r="D77" s="117">
        <v>269</v>
      </c>
      <c r="E77" s="11">
        <v>18</v>
      </c>
      <c r="F77" s="193"/>
      <c r="G77" s="180"/>
      <c r="H77" s="180"/>
      <c r="I77" s="47"/>
      <c r="J77" s="52"/>
      <c r="K77" s="67"/>
      <c r="L77" s="75"/>
      <c r="M77" s="66"/>
      <c r="N77" s="67"/>
      <c r="O77" s="52"/>
      <c r="P77" s="47"/>
      <c r="Q77" s="31"/>
    </row>
    <row r="78" spans="2:17" x14ac:dyDescent="0.3">
      <c r="B78" s="112"/>
      <c r="C78" s="121">
        <v>-2</v>
      </c>
      <c r="D78" s="118">
        <v>269</v>
      </c>
      <c r="E78" s="11">
        <v>13</v>
      </c>
      <c r="F78" s="194"/>
      <c r="G78" s="181"/>
      <c r="H78" s="181"/>
      <c r="I78" s="48"/>
      <c r="J78" s="52"/>
      <c r="K78" s="67"/>
      <c r="L78" s="75"/>
      <c r="M78" s="66"/>
      <c r="N78" s="67"/>
      <c r="O78" s="52"/>
      <c r="P78" s="48"/>
      <c r="Q78" s="31"/>
    </row>
    <row r="79" spans="2:17" x14ac:dyDescent="0.3">
      <c r="B79" s="137" t="s">
        <v>6</v>
      </c>
      <c r="C79" s="149">
        <v>1</v>
      </c>
      <c r="D79" s="140">
        <v>331</v>
      </c>
      <c r="E79" s="12">
        <v>4</v>
      </c>
      <c r="F79" s="195">
        <f t="shared" ref="F79" si="64">(G79+G82)/2</f>
        <v>310.80555555555554</v>
      </c>
      <c r="G79" s="83">
        <f>D79+(AVERAGE(E79:E81)/60)</f>
        <v>331.06666666666666</v>
      </c>
      <c r="H79" s="83">
        <f t="shared" ref="H79" si="65">G79-$G$11</f>
        <v>20.266666666666652</v>
      </c>
      <c r="I79" s="49">
        <f>($E$5*SIN(RADIANS(H79)))/C79</f>
        <v>5773.1658537870753</v>
      </c>
      <c r="J79" s="53">
        <f>SUM(I79:I90)/4</f>
        <v>5785.4604495205431</v>
      </c>
      <c r="K79" s="63">
        <v>5770</v>
      </c>
      <c r="L79" s="76">
        <f>(E80-E81)/2</f>
        <v>2</v>
      </c>
      <c r="M79" s="62">
        <f t="shared" ref="M79" si="66">L79/60</f>
        <v>3.3333333333333333E-2</v>
      </c>
      <c r="N79" s="62">
        <f t="shared" ref="N79" si="67">SQRT(((M79^2)+($N$11^2)))</f>
        <v>3.4359213546813837E-2</v>
      </c>
      <c r="O79" s="53">
        <f>ABS(($E$5/C79)*COS(RADIANS(H79))*(N79))</f>
        <v>537.20092937072911</v>
      </c>
      <c r="P79" s="49">
        <f>AVERAGE(O79:O90)</f>
        <v>388.98444879730812</v>
      </c>
      <c r="Q79" s="32">
        <f t="shared" ref="Q79" si="68">(ABS(J79-K79)/K79)*100</f>
        <v>0.26794539896955077</v>
      </c>
    </row>
    <row r="80" spans="2:17" x14ac:dyDescent="0.3">
      <c r="B80" s="138"/>
      <c r="C80" s="150">
        <v>1</v>
      </c>
      <c r="D80" s="141">
        <v>330.5</v>
      </c>
      <c r="E80" s="12">
        <v>6</v>
      </c>
      <c r="F80" s="196"/>
      <c r="G80" s="83"/>
      <c r="H80" s="83"/>
      <c r="I80" s="50"/>
      <c r="J80" s="53"/>
      <c r="K80" s="63"/>
      <c r="L80" s="76"/>
      <c r="M80" s="62"/>
      <c r="N80" s="63"/>
      <c r="O80" s="53"/>
      <c r="P80" s="50"/>
      <c r="Q80" s="32"/>
    </row>
    <row r="81" spans="2:17" x14ac:dyDescent="0.3">
      <c r="B81" s="138"/>
      <c r="C81" s="151">
        <v>1</v>
      </c>
      <c r="D81" s="142">
        <v>330.5</v>
      </c>
      <c r="E81" s="12">
        <v>2</v>
      </c>
      <c r="F81" s="196"/>
      <c r="G81" s="84"/>
      <c r="H81" s="84"/>
      <c r="I81" s="51"/>
      <c r="J81" s="53"/>
      <c r="K81" s="63"/>
      <c r="L81" s="76"/>
      <c r="M81" s="62"/>
      <c r="N81" s="63"/>
      <c r="O81" s="53"/>
      <c r="P81" s="50"/>
      <c r="Q81" s="32"/>
    </row>
    <row r="82" spans="2:17" x14ac:dyDescent="0.3">
      <c r="B82" s="138"/>
      <c r="C82" s="149">
        <v>-1</v>
      </c>
      <c r="D82" s="140">
        <v>290.5</v>
      </c>
      <c r="E82" s="12">
        <v>3</v>
      </c>
      <c r="F82" s="196"/>
      <c r="G82" s="83">
        <f>D82+(AVERAGE(E82:E84)/60)</f>
        <v>290.54444444444442</v>
      </c>
      <c r="H82" s="83">
        <f t="shared" ref="H82" si="69">G82-$G$11</f>
        <v>-20.255555555555588</v>
      </c>
      <c r="I82" s="49">
        <f>($E$5*SIN(RADIANS(H82)))/C82</f>
        <v>5770.1337508220813</v>
      </c>
      <c r="J82" s="53"/>
      <c r="K82" s="63"/>
      <c r="L82" s="76">
        <f>(E83-E84)/2</f>
        <v>1.5</v>
      </c>
      <c r="M82" s="62">
        <f t="shared" ref="M82" si="70">L82/60</f>
        <v>2.5000000000000001E-2</v>
      </c>
      <c r="N82" s="62">
        <f t="shared" ref="N82" si="71">SQRT(((M82^2)+($N$11^2)))</f>
        <v>2.6352313834736497E-2</v>
      </c>
      <c r="O82" s="53">
        <f>ABS(($E$5/C82)*COS(RADIANS(H82))*(N82))</f>
        <v>412.04380015576839</v>
      </c>
      <c r="P82" s="50"/>
      <c r="Q82" s="32"/>
    </row>
    <row r="83" spans="2:17" x14ac:dyDescent="0.3">
      <c r="B83" s="138"/>
      <c r="C83" s="150">
        <v>-1</v>
      </c>
      <c r="D83" s="141">
        <v>289.5</v>
      </c>
      <c r="E83" s="12">
        <v>4</v>
      </c>
      <c r="F83" s="196"/>
      <c r="G83" s="83"/>
      <c r="H83" s="83"/>
      <c r="I83" s="50"/>
      <c r="J83" s="53"/>
      <c r="K83" s="63"/>
      <c r="L83" s="76"/>
      <c r="M83" s="62"/>
      <c r="N83" s="63"/>
      <c r="O83" s="53"/>
      <c r="P83" s="50"/>
      <c r="Q83" s="32"/>
    </row>
    <row r="84" spans="2:17" x14ac:dyDescent="0.3">
      <c r="B84" s="138"/>
      <c r="C84" s="151">
        <v>-1</v>
      </c>
      <c r="D84" s="142">
        <v>289.5</v>
      </c>
      <c r="E84" s="12">
        <v>1</v>
      </c>
      <c r="F84" s="197"/>
      <c r="G84" s="84"/>
      <c r="H84" s="84"/>
      <c r="I84" s="51"/>
      <c r="J84" s="53"/>
      <c r="K84" s="63"/>
      <c r="L84" s="76"/>
      <c r="M84" s="62"/>
      <c r="N84" s="63"/>
      <c r="O84" s="53"/>
      <c r="P84" s="50"/>
      <c r="Q84" s="32"/>
    </row>
    <row r="85" spans="2:17" x14ac:dyDescent="0.3">
      <c r="B85" s="138"/>
      <c r="C85" s="146">
        <v>2</v>
      </c>
      <c r="D85" s="143">
        <v>354.5</v>
      </c>
      <c r="E85" s="12">
        <v>18</v>
      </c>
      <c r="F85" s="195">
        <f t="shared" ref="F85" si="72">(G85+G88)/2</f>
        <v>310.75</v>
      </c>
      <c r="G85" s="83">
        <f>D85+(AVERAGE(E85:E87)/60)</f>
        <v>354.85</v>
      </c>
      <c r="H85" s="83">
        <f t="shared" ref="H85" si="73">G85-$G$11</f>
        <v>44.050000000000011</v>
      </c>
      <c r="I85" s="49">
        <f>($E$5*SIN(RADIANS(H85)))/C85</f>
        <v>5794.048735590547</v>
      </c>
      <c r="J85" s="53"/>
      <c r="K85" s="63"/>
      <c r="L85" s="76">
        <f>(E87-E85)/2</f>
        <v>3</v>
      </c>
      <c r="M85" s="62">
        <f t="shared" ref="M85" si="74">L85/60</f>
        <v>0.05</v>
      </c>
      <c r="N85" s="62">
        <f t="shared" ref="N85" si="75">SQRT(((M85^2)+($N$11^2)))</f>
        <v>5.0689687752485169E-2</v>
      </c>
      <c r="O85" s="53">
        <f>ABS(($E$5/C85)*COS(RADIANS(H85))*(N85))</f>
        <v>303.60306421832632</v>
      </c>
      <c r="P85" s="50"/>
      <c r="Q85" s="32"/>
    </row>
    <row r="86" spans="2:17" x14ac:dyDescent="0.3">
      <c r="B86" s="138"/>
      <c r="C86" s="147">
        <v>2</v>
      </c>
      <c r="D86" s="144">
        <v>353</v>
      </c>
      <c r="E86" s="12">
        <v>21</v>
      </c>
      <c r="F86" s="196"/>
      <c r="G86" s="83"/>
      <c r="H86" s="83"/>
      <c r="I86" s="50"/>
      <c r="J86" s="53"/>
      <c r="K86" s="63"/>
      <c r="L86" s="76"/>
      <c r="M86" s="62"/>
      <c r="N86" s="63"/>
      <c r="O86" s="53"/>
      <c r="P86" s="50"/>
      <c r="Q86" s="32"/>
    </row>
    <row r="87" spans="2:17" x14ac:dyDescent="0.3">
      <c r="B87" s="138"/>
      <c r="C87" s="148">
        <v>2</v>
      </c>
      <c r="D87" s="145">
        <v>353</v>
      </c>
      <c r="E87" s="12">
        <v>24</v>
      </c>
      <c r="F87" s="196"/>
      <c r="G87" s="84"/>
      <c r="H87" s="84"/>
      <c r="I87" s="51"/>
      <c r="J87" s="53"/>
      <c r="K87" s="63"/>
      <c r="L87" s="76"/>
      <c r="M87" s="62"/>
      <c r="N87" s="63"/>
      <c r="O87" s="53"/>
      <c r="P87" s="50"/>
      <c r="Q87" s="32"/>
    </row>
    <row r="88" spans="2:17" x14ac:dyDescent="0.3">
      <c r="B88" s="138"/>
      <c r="C88" s="146">
        <v>-2</v>
      </c>
      <c r="D88" s="143">
        <v>266.5</v>
      </c>
      <c r="E88" s="12">
        <v>6</v>
      </c>
      <c r="F88" s="196"/>
      <c r="G88" s="83">
        <f>D88+(AVERAGE(E88:E90)/60)</f>
        <v>266.64999999999998</v>
      </c>
      <c r="H88" s="83">
        <f t="shared" ref="H88" si="76">G88-$G$11</f>
        <v>-44.150000000000034</v>
      </c>
      <c r="I88" s="49">
        <f>($E$5*SIN(RADIANS(H88)))/C88</f>
        <v>5804.4934578824677</v>
      </c>
      <c r="J88" s="53"/>
      <c r="K88" s="63"/>
      <c r="L88" s="76">
        <f>(E90-E88)/2</f>
        <v>3</v>
      </c>
      <c r="M88" s="62">
        <f t="shared" ref="M88" si="77">L88/60</f>
        <v>0.05</v>
      </c>
      <c r="N88" s="62">
        <f t="shared" ref="N88" si="78">SQRT(((M88^2)+($N$11^2)))</f>
        <v>5.0689687752485169E-2</v>
      </c>
      <c r="O88" s="53">
        <f>ABS(($E$5/C88)*COS(RADIANS(H88))*(N88))</f>
        <v>303.09000144440864</v>
      </c>
      <c r="P88" s="50"/>
      <c r="Q88" s="32"/>
    </row>
    <row r="89" spans="2:17" x14ac:dyDescent="0.3">
      <c r="B89" s="138"/>
      <c r="C89" s="147">
        <v>-2</v>
      </c>
      <c r="D89" s="144">
        <v>264.5</v>
      </c>
      <c r="E89" s="12">
        <v>9</v>
      </c>
      <c r="F89" s="196"/>
      <c r="G89" s="83"/>
      <c r="H89" s="83"/>
      <c r="I89" s="50"/>
      <c r="J89" s="53"/>
      <c r="K89" s="63"/>
      <c r="L89" s="76"/>
      <c r="M89" s="62"/>
      <c r="N89" s="63"/>
      <c r="O89" s="53"/>
      <c r="P89" s="50"/>
      <c r="Q89" s="32"/>
    </row>
    <row r="90" spans="2:17" x14ac:dyDescent="0.3">
      <c r="B90" s="139"/>
      <c r="C90" s="148">
        <v>-2</v>
      </c>
      <c r="D90" s="145">
        <v>264.5</v>
      </c>
      <c r="E90" s="12">
        <v>12</v>
      </c>
      <c r="F90" s="197"/>
      <c r="G90" s="84"/>
      <c r="H90" s="84"/>
      <c r="I90" s="51"/>
      <c r="J90" s="53"/>
      <c r="K90" s="63"/>
      <c r="L90" s="76"/>
      <c r="M90" s="62"/>
      <c r="N90" s="63"/>
      <c r="O90" s="53"/>
      <c r="P90" s="51"/>
      <c r="Q90" s="32"/>
    </row>
  </sheetData>
  <mergeCells count="307">
    <mergeCell ref="B40:Q40"/>
    <mergeCell ref="F9:F10"/>
    <mergeCell ref="F41:F42"/>
    <mergeCell ref="F67:F72"/>
    <mergeCell ref="F73:F78"/>
    <mergeCell ref="F79:F84"/>
    <mergeCell ref="F85:F90"/>
    <mergeCell ref="F43:F48"/>
    <mergeCell ref="F49:F54"/>
    <mergeCell ref="F55:F60"/>
    <mergeCell ref="F61:F66"/>
    <mergeCell ref="F20:F25"/>
    <mergeCell ref="F26:F31"/>
    <mergeCell ref="F32:F37"/>
    <mergeCell ref="F14:F19"/>
    <mergeCell ref="O88:O90"/>
    <mergeCell ref="G11:G13"/>
    <mergeCell ref="N85:N87"/>
    <mergeCell ref="O85:O87"/>
    <mergeCell ref="C88:C90"/>
    <mergeCell ref="D88:D90"/>
    <mergeCell ref="G88:G90"/>
    <mergeCell ref="H88:H90"/>
    <mergeCell ref="O79:O81"/>
    <mergeCell ref="P79:P90"/>
    <mergeCell ref="Q79:Q90"/>
    <mergeCell ref="M82:M84"/>
    <mergeCell ref="N82:N84"/>
    <mergeCell ref="O82:O84"/>
    <mergeCell ref="M85:M87"/>
    <mergeCell ref="N76:N78"/>
    <mergeCell ref="O76:O78"/>
    <mergeCell ref="M79:M81"/>
    <mergeCell ref="N79:N81"/>
    <mergeCell ref="M88:M90"/>
    <mergeCell ref="N88:N90"/>
    <mergeCell ref="B79:B90"/>
    <mergeCell ref="C79:C81"/>
    <mergeCell ref="D79:D81"/>
    <mergeCell ref="G79:G81"/>
    <mergeCell ref="H79:H81"/>
    <mergeCell ref="I79:I81"/>
    <mergeCell ref="J79:J90"/>
    <mergeCell ref="K79:K90"/>
    <mergeCell ref="M73:M75"/>
    <mergeCell ref="C82:C84"/>
    <mergeCell ref="D82:D84"/>
    <mergeCell ref="G82:G84"/>
    <mergeCell ref="H82:H84"/>
    <mergeCell ref="I82:I84"/>
    <mergeCell ref="L82:L84"/>
    <mergeCell ref="L79:L81"/>
    <mergeCell ref="I88:I90"/>
    <mergeCell ref="L88:L90"/>
    <mergeCell ref="C85:C87"/>
    <mergeCell ref="D85:D87"/>
    <mergeCell ref="G85:G87"/>
    <mergeCell ref="H85:H87"/>
    <mergeCell ref="I85:I87"/>
    <mergeCell ref="L85:L87"/>
    <mergeCell ref="P67:P78"/>
    <mergeCell ref="Q67:Q78"/>
    <mergeCell ref="C70:C72"/>
    <mergeCell ref="D70:D72"/>
    <mergeCell ref="G70:G72"/>
    <mergeCell ref="H70:H72"/>
    <mergeCell ref="I70:I72"/>
    <mergeCell ref="L70:L72"/>
    <mergeCell ref="M70:M72"/>
    <mergeCell ref="N70:N72"/>
    <mergeCell ref="O70:O72"/>
    <mergeCell ref="C73:C75"/>
    <mergeCell ref="D73:D75"/>
    <mergeCell ref="G73:G75"/>
    <mergeCell ref="H73:H75"/>
    <mergeCell ref="I73:I75"/>
    <mergeCell ref="L73:L75"/>
    <mergeCell ref="N73:N75"/>
    <mergeCell ref="O73:O75"/>
    <mergeCell ref="C76:C78"/>
    <mergeCell ref="D76:D78"/>
    <mergeCell ref="G76:G78"/>
    <mergeCell ref="H76:H78"/>
    <mergeCell ref="I76:I78"/>
    <mergeCell ref="C61:C63"/>
    <mergeCell ref="D61:D63"/>
    <mergeCell ref="G61:G63"/>
    <mergeCell ref="H61:H63"/>
    <mergeCell ref="I61:I63"/>
    <mergeCell ref="L61:L63"/>
    <mergeCell ref="O64:O66"/>
    <mergeCell ref="B67:B78"/>
    <mergeCell ref="C67:C69"/>
    <mergeCell ref="D67:D69"/>
    <mergeCell ref="G67:G69"/>
    <mergeCell ref="H67:H69"/>
    <mergeCell ref="I67:I69"/>
    <mergeCell ref="J67:J78"/>
    <mergeCell ref="K67:K78"/>
    <mergeCell ref="L67:L69"/>
    <mergeCell ref="B55:B66"/>
    <mergeCell ref="M67:M69"/>
    <mergeCell ref="N67:N69"/>
    <mergeCell ref="O67:O69"/>
    <mergeCell ref="L76:L78"/>
    <mergeCell ref="M76:M78"/>
    <mergeCell ref="C58:C60"/>
    <mergeCell ref="D58:D60"/>
    <mergeCell ref="G58:G60"/>
    <mergeCell ref="H58:H60"/>
    <mergeCell ref="I58:I60"/>
    <mergeCell ref="L58:L60"/>
    <mergeCell ref="L55:L57"/>
    <mergeCell ref="M55:M57"/>
    <mergeCell ref="N55:N57"/>
    <mergeCell ref="C55:C57"/>
    <mergeCell ref="D55:D57"/>
    <mergeCell ref="G55:G57"/>
    <mergeCell ref="H55:H57"/>
    <mergeCell ref="I55:I57"/>
    <mergeCell ref="J55:J66"/>
    <mergeCell ref="K55:K66"/>
    <mergeCell ref="N61:N63"/>
    <mergeCell ref="C64:C66"/>
    <mergeCell ref="D64:D66"/>
    <mergeCell ref="G64:G66"/>
    <mergeCell ref="H64:H66"/>
    <mergeCell ref="I64:I66"/>
    <mergeCell ref="L64:L66"/>
    <mergeCell ref="M64:M66"/>
    <mergeCell ref="O55:O57"/>
    <mergeCell ref="P55:P66"/>
    <mergeCell ref="Q55:Q66"/>
    <mergeCell ref="M58:M60"/>
    <mergeCell ref="N58:N60"/>
    <mergeCell ref="O58:O60"/>
    <mergeCell ref="M61:M63"/>
    <mergeCell ref="N52:N54"/>
    <mergeCell ref="O52:O54"/>
    <mergeCell ref="Q43:Q54"/>
    <mergeCell ref="P43:P54"/>
    <mergeCell ref="O61:O63"/>
    <mergeCell ref="N64:N66"/>
    <mergeCell ref="C52:C54"/>
    <mergeCell ref="D52:D54"/>
    <mergeCell ref="G52:G54"/>
    <mergeCell ref="H52:H54"/>
    <mergeCell ref="I52:I54"/>
    <mergeCell ref="L52:L54"/>
    <mergeCell ref="C49:C51"/>
    <mergeCell ref="D49:D51"/>
    <mergeCell ref="G49:G51"/>
    <mergeCell ref="H49:H51"/>
    <mergeCell ref="I49:I51"/>
    <mergeCell ref="L49:L51"/>
    <mergeCell ref="L46:L48"/>
    <mergeCell ref="M46:M48"/>
    <mergeCell ref="N46:N48"/>
    <mergeCell ref="O46:O48"/>
    <mergeCell ref="K43:K54"/>
    <mergeCell ref="L43:L45"/>
    <mergeCell ref="M43:M45"/>
    <mergeCell ref="N43:N45"/>
    <mergeCell ref="O43:O45"/>
    <mergeCell ref="M49:M51"/>
    <mergeCell ref="N49:N51"/>
    <mergeCell ref="O49:O51"/>
    <mergeCell ref="M52:M54"/>
    <mergeCell ref="O41:O42"/>
    <mergeCell ref="P41:P42"/>
    <mergeCell ref="Q41:Q42"/>
    <mergeCell ref="B43:B54"/>
    <mergeCell ref="C43:C45"/>
    <mergeCell ref="D43:D45"/>
    <mergeCell ref="G43:G45"/>
    <mergeCell ref="H43:H45"/>
    <mergeCell ref="I43:I45"/>
    <mergeCell ref="J43:J54"/>
    <mergeCell ref="D41:E41"/>
    <mergeCell ref="G41:G42"/>
    <mergeCell ref="H41:H42"/>
    <mergeCell ref="I41:I42"/>
    <mergeCell ref="J41:J42"/>
    <mergeCell ref="K41:K42"/>
    <mergeCell ref="L41:L42"/>
    <mergeCell ref="M41:M42"/>
    <mergeCell ref="N41:N42"/>
    <mergeCell ref="C46:C48"/>
    <mergeCell ref="D46:D48"/>
    <mergeCell ref="G46:G48"/>
    <mergeCell ref="H46:H48"/>
    <mergeCell ref="I46:I48"/>
    <mergeCell ref="M35:M37"/>
    <mergeCell ref="N35:N37"/>
    <mergeCell ref="J32:J37"/>
    <mergeCell ref="K32:K37"/>
    <mergeCell ref="L32:L34"/>
    <mergeCell ref="M32:M34"/>
    <mergeCell ref="N32:N34"/>
    <mergeCell ref="O32:O34"/>
    <mergeCell ref="O35:O37"/>
    <mergeCell ref="P26:P31"/>
    <mergeCell ref="Q26:Q31"/>
    <mergeCell ref="M29:M31"/>
    <mergeCell ref="N29:N31"/>
    <mergeCell ref="O29:O31"/>
    <mergeCell ref="B32:B37"/>
    <mergeCell ref="C32:C34"/>
    <mergeCell ref="D32:D34"/>
    <mergeCell ref="G32:G34"/>
    <mergeCell ref="H32:H34"/>
    <mergeCell ref="I32:I34"/>
    <mergeCell ref="C29:C31"/>
    <mergeCell ref="D29:D31"/>
    <mergeCell ref="G29:G31"/>
    <mergeCell ref="H29:H31"/>
    <mergeCell ref="I29:I31"/>
    <mergeCell ref="P32:P37"/>
    <mergeCell ref="Q32:Q37"/>
    <mergeCell ref="C35:C37"/>
    <mergeCell ref="D35:D37"/>
    <mergeCell ref="G35:G37"/>
    <mergeCell ref="H35:H37"/>
    <mergeCell ref="I35:I37"/>
    <mergeCell ref="L35:L37"/>
    <mergeCell ref="P14:P25"/>
    <mergeCell ref="M20:M22"/>
    <mergeCell ref="N20:N22"/>
    <mergeCell ref="N23:N25"/>
    <mergeCell ref="O23:O25"/>
    <mergeCell ref="B26:B31"/>
    <mergeCell ref="C26:C28"/>
    <mergeCell ref="D26:D28"/>
    <mergeCell ref="G26:G28"/>
    <mergeCell ref="H26:H28"/>
    <mergeCell ref="I26:I28"/>
    <mergeCell ref="J26:J31"/>
    <mergeCell ref="K26:K31"/>
    <mergeCell ref="C23:C25"/>
    <mergeCell ref="D23:D25"/>
    <mergeCell ref="G23:G25"/>
    <mergeCell ref="H23:H25"/>
    <mergeCell ref="I23:I25"/>
    <mergeCell ref="L23:L25"/>
    <mergeCell ref="L29:L31"/>
    <mergeCell ref="L26:L28"/>
    <mergeCell ref="M26:M28"/>
    <mergeCell ref="N26:N28"/>
    <mergeCell ref="O26:O28"/>
    <mergeCell ref="C17:C19"/>
    <mergeCell ref="D17:D19"/>
    <mergeCell ref="G17:G19"/>
    <mergeCell ref="H17:H19"/>
    <mergeCell ref="I17:I19"/>
    <mergeCell ref="L17:L19"/>
    <mergeCell ref="M17:M19"/>
    <mergeCell ref="N17:N19"/>
    <mergeCell ref="O17:O19"/>
    <mergeCell ref="K14:K25"/>
    <mergeCell ref="L14:L16"/>
    <mergeCell ref="M14:M16"/>
    <mergeCell ref="N14:N16"/>
    <mergeCell ref="O14:O16"/>
    <mergeCell ref="O20:O22"/>
    <mergeCell ref="M23:M25"/>
    <mergeCell ref="P11:P13"/>
    <mergeCell ref="Q11:Q13"/>
    <mergeCell ref="B14:B25"/>
    <mergeCell ref="C14:C16"/>
    <mergeCell ref="D14:D16"/>
    <mergeCell ref="G14:G16"/>
    <mergeCell ref="H14:H16"/>
    <mergeCell ref="I14:I16"/>
    <mergeCell ref="J14:J25"/>
    <mergeCell ref="J11:J13"/>
    <mergeCell ref="K11:K13"/>
    <mergeCell ref="L11:L13"/>
    <mergeCell ref="M11:M13"/>
    <mergeCell ref="N11:N13"/>
    <mergeCell ref="O11:O13"/>
    <mergeCell ref="C20:C22"/>
    <mergeCell ref="D20:D22"/>
    <mergeCell ref="G20:G22"/>
    <mergeCell ref="H20:H22"/>
    <mergeCell ref="I20:I22"/>
    <mergeCell ref="L20:L22"/>
    <mergeCell ref="Q14:Q25"/>
    <mergeCell ref="M9:M10"/>
    <mergeCell ref="N9:N10"/>
    <mergeCell ref="O9:O10"/>
    <mergeCell ref="P9:P10"/>
    <mergeCell ref="Q9:Q10"/>
    <mergeCell ref="B11:B13"/>
    <mergeCell ref="C11:C13"/>
    <mergeCell ref="D11:D13"/>
    <mergeCell ref="H11:H13"/>
    <mergeCell ref="I11:I13"/>
    <mergeCell ref="B3:D3"/>
    <mergeCell ref="B5:D5"/>
    <mergeCell ref="D9:E9"/>
    <mergeCell ref="G9:G10"/>
    <mergeCell ref="H9:H10"/>
    <mergeCell ref="I9:I10"/>
    <mergeCell ref="J9:J10"/>
    <mergeCell ref="K9:K10"/>
    <mergeCell ref="L9:L10"/>
    <mergeCell ref="B8:Q8"/>
  </mergeCells>
  <pageMargins left="0.7" right="0.7" top="0.75" bottom="0.75" header="0.3" footer="0.3"/>
  <ignoredErrors>
    <ignoredError sqref="H12:H13 G43:G90 G14:G37 G11" formulaRange="1"/>
    <ignoredError sqref="L17 L6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Tabelas</vt:lpstr>
      <vt:lpstr>Montagem experimental</vt:lpstr>
      <vt:lpstr>Análise 1</vt:lpstr>
      <vt:lpstr>Análise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</dc:creator>
  <cp:lastModifiedBy>Luis</cp:lastModifiedBy>
  <dcterms:created xsi:type="dcterms:W3CDTF">2019-03-22T04:24:56Z</dcterms:created>
  <dcterms:modified xsi:type="dcterms:W3CDTF">2021-04-18T21:19:51Z</dcterms:modified>
</cp:coreProperties>
</file>