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2º Semestre\2º Semestre\Física moderna\"/>
    </mc:Choice>
  </mc:AlternateContent>
  <xr:revisionPtr revIDLastSave="0" documentId="13_ncr:1_{6768ED5A-5CDC-46D6-B1A1-CF7BB7D37F9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7.1" sheetId="2" r:id="rId1"/>
    <sheet name="T7.2" sheetId="5" r:id="rId2"/>
    <sheet name="coef abs Al" sheetId="3" r:id="rId3"/>
  </sheets>
  <externalReferences>
    <externalReference r:id="rId4"/>
  </externalReferences>
  <definedNames>
    <definedName name="solver_adj" localSheetId="1" hidden="1">'T7.2'!$R$29:$R$30,'T7.2'!$U$29:$U$30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'T7.2'!$X$29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C3" i="5" s="1"/>
  <c r="Q32" i="5"/>
  <c r="R32" i="5" s="1"/>
  <c r="T32" i="5"/>
  <c r="U32" i="5" s="1"/>
  <c r="Q33" i="5"/>
  <c r="R33" i="5" s="1"/>
  <c r="T33" i="5"/>
  <c r="U33" i="5" s="1"/>
  <c r="Q34" i="5"/>
  <c r="R34" i="5" s="1"/>
  <c r="T34" i="5"/>
  <c r="U34" i="5" s="1"/>
  <c r="Q35" i="5"/>
  <c r="R35" i="5" s="1"/>
  <c r="T35" i="5"/>
  <c r="U35" i="5" s="1"/>
  <c r="Q36" i="5"/>
  <c r="R36" i="5" s="1"/>
  <c r="T36" i="5"/>
  <c r="U36" i="5" s="1"/>
  <c r="Q37" i="5"/>
  <c r="R37" i="5" s="1"/>
  <c r="T37" i="5"/>
  <c r="U37" i="5" s="1"/>
  <c r="Q38" i="5"/>
  <c r="R38" i="5" s="1"/>
  <c r="T38" i="5"/>
  <c r="U38" i="5" s="1"/>
  <c r="Q39" i="5"/>
  <c r="R39" i="5" s="1"/>
  <c r="T39" i="5"/>
  <c r="U39" i="5" s="1"/>
  <c r="Q40" i="5"/>
  <c r="R40" i="5" s="1"/>
  <c r="T40" i="5"/>
  <c r="U40" i="5" s="1"/>
  <c r="Z25" i="2"/>
  <c r="Z26" i="2"/>
  <c r="Z27" i="2"/>
  <c r="Z28" i="2"/>
  <c r="Z29" i="2"/>
  <c r="Z30" i="2"/>
  <c r="Z31" i="2"/>
  <c r="Z32" i="2"/>
  <c r="Z33" i="2"/>
  <c r="Z34" i="2"/>
  <c r="Z24" i="2"/>
  <c r="Z6" i="2"/>
  <c r="Z7" i="2"/>
  <c r="Z8" i="2"/>
  <c r="Z9" i="2"/>
  <c r="Z10" i="2"/>
  <c r="Z11" i="2"/>
  <c r="Z12" i="2"/>
  <c r="Z13" i="2"/>
  <c r="Z14" i="2"/>
  <c r="Z15" i="2"/>
  <c r="Z5" i="2"/>
  <c r="G19" i="2"/>
  <c r="G18" i="2"/>
  <c r="AD3" i="5" l="1"/>
  <c r="N60" i="5"/>
  <c r="N32" i="5"/>
  <c r="AC6" i="5"/>
  <c r="AC10" i="5"/>
  <c r="AC9" i="5"/>
  <c r="AC5" i="5"/>
  <c r="W40" i="5"/>
  <c r="W39" i="5"/>
  <c r="W38" i="5"/>
  <c r="W37" i="5"/>
  <c r="W36" i="5"/>
  <c r="W35" i="5"/>
  <c r="W34" i="5"/>
  <c r="W33" i="5"/>
  <c r="W32" i="5"/>
  <c r="AC12" i="5"/>
  <c r="AD12" i="5" s="1"/>
  <c r="AC8" i="5"/>
  <c r="AC4" i="5"/>
  <c r="AC11" i="5"/>
  <c r="AC7" i="5"/>
  <c r="G22" i="2"/>
  <c r="C4" i="2" s="1"/>
  <c r="D4" i="2" s="1"/>
  <c r="N62" i="5" l="1"/>
  <c r="AD5" i="5"/>
  <c r="N34" i="5"/>
  <c r="N66" i="5"/>
  <c r="AD9" i="5"/>
  <c r="N38" i="5"/>
  <c r="AD7" i="5"/>
  <c r="N36" i="5"/>
  <c r="N64" i="5"/>
  <c r="N39" i="5"/>
  <c r="N67" i="5"/>
  <c r="AD10" i="5"/>
  <c r="AD6" i="5"/>
  <c r="N63" i="5"/>
  <c r="N35" i="5"/>
  <c r="N61" i="5"/>
  <c r="AD4" i="5"/>
  <c r="N33" i="5"/>
  <c r="X32" i="5"/>
  <c r="O32" i="5"/>
  <c r="AD11" i="5"/>
  <c r="N68" i="5"/>
  <c r="N40" i="5"/>
  <c r="N65" i="5"/>
  <c r="AD8" i="5"/>
  <c r="N37" i="5"/>
  <c r="O60" i="5"/>
  <c r="C97" i="2"/>
  <c r="D97" i="2" s="1"/>
  <c r="C89" i="2"/>
  <c r="D89" i="2" s="1"/>
  <c r="C81" i="2"/>
  <c r="D81" i="2" s="1"/>
  <c r="C73" i="2"/>
  <c r="D73" i="2" s="1"/>
  <c r="C65" i="2"/>
  <c r="D65" i="2" s="1"/>
  <c r="C57" i="2"/>
  <c r="D57" i="2" s="1"/>
  <c r="C49" i="2"/>
  <c r="D49" i="2" s="1"/>
  <c r="C45" i="2"/>
  <c r="D45" i="2" s="1"/>
  <c r="C37" i="2"/>
  <c r="D37" i="2" s="1"/>
  <c r="C33" i="2"/>
  <c r="D33" i="2" s="1"/>
  <c r="C25" i="2"/>
  <c r="D25" i="2" s="1"/>
  <c r="C21" i="2"/>
  <c r="D21" i="2" s="1"/>
  <c r="C17" i="2"/>
  <c r="D17" i="2" s="1"/>
  <c r="C13" i="2"/>
  <c r="D13" i="2" s="1"/>
  <c r="C9" i="2"/>
  <c r="D9" i="2" s="1"/>
  <c r="C5" i="2"/>
  <c r="D5" i="2" s="1"/>
  <c r="G24" i="2" s="1"/>
  <c r="G25" i="2" s="1"/>
  <c r="C92" i="2"/>
  <c r="D92" i="2" s="1"/>
  <c r="C84" i="2"/>
  <c r="D84" i="2" s="1"/>
  <c r="C72" i="2"/>
  <c r="D72" i="2" s="1"/>
  <c r="C68" i="2"/>
  <c r="D68" i="2" s="1"/>
  <c r="C64" i="2"/>
  <c r="D64" i="2" s="1"/>
  <c r="C60" i="2"/>
  <c r="D60" i="2" s="1"/>
  <c r="C56" i="2"/>
  <c r="D56" i="2" s="1"/>
  <c r="C52" i="2"/>
  <c r="D52" i="2" s="1"/>
  <c r="C48" i="2"/>
  <c r="D48" i="2" s="1"/>
  <c r="C44" i="2"/>
  <c r="D44" i="2" s="1"/>
  <c r="C40" i="2"/>
  <c r="D40" i="2" s="1"/>
  <c r="C36" i="2"/>
  <c r="D36" i="2" s="1"/>
  <c r="C32" i="2"/>
  <c r="D32" i="2" s="1"/>
  <c r="C28" i="2"/>
  <c r="D28" i="2" s="1"/>
  <c r="C24" i="2"/>
  <c r="D24" i="2" s="1"/>
  <c r="C20" i="2"/>
  <c r="D20" i="2" s="1"/>
  <c r="C16" i="2"/>
  <c r="D16" i="2" s="1"/>
  <c r="C12" i="2"/>
  <c r="D12" i="2" s="1"/>
  <c r="C8" i="2"/>
  <c r="D8" i="2" s="1"/>
  <c r="C96" i="2"/>
  <c r="D96" i="2" s="1"/>
  <c r="C88" i="2"/>
  <c r="D88" i="2" s="1"/>
  <c r="C76" i="2"/>
  <c r="D76" i="2" s="1"/>
  <c r="C99" i="2"/>
  <c r="D99" i="2" s="1"/>
  <c r="C95" i="2"/>
  <c r="D95" i="2" s="1"/>
  <c r="C91" i="2"/>
  <c r="D91" i="2" s="1"/>
  <c r="C87" i="2"/>
  <c r="D87" i="2" s="1"/>
  <c r="C83" i="2"/>
  <c r="D83" i="2" s="1"/>
  <c r="C79" i="2"/>
  <c r="D79" i="2" s="1"/>
  <c r="C75" i="2"/>
  <c r="D75" i="2" s="1"/>
  <c r="C71" i="2"/>
  <c r="D71" i="2" s="1"/>
  <c r="C67" i="2"/>
  <c r="D67" i="2" s="1"/>
  <c r="C63" i="2"/>
  <c r="D63" i="2" s="1"/>
  <c r="C59" i="2"/>
  <c r="D59" i="2" s="1"/>
  <c r="C55" i="2"/>
  <c r="D55" i="2" s="1"/>
  <c r="C51" i="2"/>
  <c r="D51" i="2" s="1"/>
  <c r="C47" i="2"/>
  <c r="D47" i="2" s="1"/>
  <c r="C43" i="2"/>
  <c r="D43" i="2" s="1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101" i="2"/>
  <c r="D101" i="2" s="1"/>
  <c r="C93" i="2"/>
  <c r="D93" i="2" s="1"/>
  <c r="C85" i="2"/>
  <c r="D85" i="2" s="1"/>
  <c r="C77" i="2"/>
  <c r="D77" i="2" s="1"/>
  <c r="C69" i="2"/>
  <c r="D69" i="2" s="1"/>
  <c r="C61" i="2"/>
  <c r="D61" i="2" s="1"/>
  <c r="C53" i="2"/>
  <c r="D53" i="2" s="1"/>
  <c r="C41" i="2"/>
  <c r="D41" i="2" s="1"/>
  <c r="C29" i="2"/>
  <c r="D29" i="2" s="1"/>
  <c r="C100" i="2"/>
  <c r="D100" i="2" s="1"/>
  <c r="C80" i="2"/>
  <c r="D80" i="2" s="1"/>
  <c r="C3" i="2"/>
  <c r="D3" i="2" s="1"/>
  <c r="C102" i="2"/>
  <c r="D102" i="2" s="1"/>
  <c r="C98" i="2"/>
  <c r="D98" i="2" s="1"/>
  <c r="C94" i="2"/>
  <c r="D94" i="2" s="1"/>
  <c r="C90" i="2"/>
  <c r="D90" i="2" s="1"/>
  <c r="C86" i="2"/>
  <c r="D86" i="2" s="1"/>
  <c r="C82" i="2"/>
  <c r="D82" i="2" s="1"/>
  <c r="C78" i="2"/>
  <c r="D78" i="2" s="1"/>
  <c r="C74" i="2"/>
  <c r="D74" i="2" s="1"/>
  <c r="C70" i="2"/>
  <c r="D70" i="2" s="1"/>
  <c r="C66" i="2"/>
  <c r="D66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G26" i="2"/>
  <c r="O61" i="5" l="1"/>
  <c r="X36" i="5"/>
  <c r="O36" i="5"/>
  <c r="O66" i="5"/>
  <c r="X34" i="5"/>
  <c r="X29" i="5" s="1"/>
  <c r="O34" i="5"/>
  <c r="X37" i="5"/>
  <c r="O37" i="5"/>
  <c r="X33" i="5"/>
  <c r="O33" i="5"/>
  <c r="X39" i="5"/>
  <c r="O39" i="5"/>
  <c r="O65" i="5"/>
  <c r="X40" i="5"/>
  <c r="O40" i="5"/>
  <c r="X35" i="5"/>
  <c r="O35" i="5"/>
  <c r="O68" i="5"/>
  <c r="O63" i="5"/>
  <c r="X38" i="5"/>
  <c r="O38" i="5"/>
  <c r="O67" i="5"/>
  <c r="O64" i="5"/>
  <c r="O62" i="5"/>
  <c r="G30" i="2"/>
  <c r="G32" i="2" s="1"/>
  <c r="G31" i="2"/>
  <c r="G33" i="2" s="1"/>
  <c r="H31" i="2"/>
  <c r="H33" i="2" s="1"/>
  <c r="H30" i="2"/>
  <c r="H32" i="2" s="1"/>
  <c r="H34" i="2" s="1"/>
  <c r="H35" i="2" s="1"/>
  <c r="R57" i="5" l="1"/>
  <c r="R58" i="5"/>
  <c r="G34" i="2"/>
  <c r="G35" i="2" s="1"/>
  <c r="Q65" i="5" l="1"/>
  <c r="Q66" i="5"/>
  <c r="Q67" i="5"/>
  <c r="Q68" i="5"/>
  <c r="Q60" i="5"/>
  <c r="Q61" i="5"/>
  <c r="Q62" i="5"/>
  <c r="Q63" i="5"/>
  <c r="Q64" i="5"/>
  <c r="R62" i="5" l="1"/>
  <c r="T62" i="5"/>
  <c r="U62" i="5" s="1"/>
  <c r="R61" i="5"/>
  <c r="T61" i="5"/>
  <c r="U61" i="5" s="1"/>
  <c r="R60" i="5"/>
  <c r="T60" i="5"/>
  <c r="U60" i="5" s="1"/>
  <c r="R68" i="5"/>
  <c r="T68" i="5"/>
  <c r="R67" i="5"/>
  <c r="T67" i="5"/>
  <c r="R66" i="5"/>
  <c r="T66" i="5"/>
  <c r="R63" i="5"/>
  <c r="T63" i="5"/>
  <c r="U63" i="5" s="1"/>
  <c r="R64" i="5"/>
  <c r="T64" i="5"/>
  <c r="U64" i="5" s="1"/>
  <c r="R65" i="5"/>
  <c r="T65" i="5"/>
  <c r="X58" i="5" l="1"/>
  <c r="X57" i="5"/>
  <c r="W61" i="5" l="1"/>
  <c r="W62" i="5"/>
  <c r="W63" i="5"/>
  <c r="W64" i="5"/>
  <c r="W65" i="5"/>
  <c r="W66" i="5"/>
  <c r="W67" i="5"/>
  <c r="W68" i="5"/>
  <c r="W60" i="5"/>
  <c r="X66" i="5" l="1"/>
  <c r="Z66" i="5"/>
  <c r="X64" i="5"/>
  <c r="Z64" i="5"/>
  <c r="X68" i="5"/>
  <c r="Z68" i="5"/>
  <c r="X63" i="5"/>
  <c r="Z63" i="5"/>
  <c r="X67" i="5"/>
  <c r="Z67" i="5"/>
  <c r="X62" i="5"/>
  <c r="Z62" i="5"/>
  <c r="X65" i="5"/>
  <c r="Z65" i="5"/>
  <c r="X60" i="5"/>
  <c r="Z60" i="5"/>
  <c r="X61" i="5"/>
  <c r="Z61" i="5"/>
</calcChain>
</file>

<file path=xl/sharedStrings.xml><?xml version="1.0" encoding="utf-8"?>
<sst xmlns="http://schemas.openxmlformats.org/spreadsheetml/2006/main" count="104" uniqueCount="79">
  <si>
    <t>i</t>
  </si>
  <si>
    <t>xi</t>
  </si>
  <si>
    <t>xi-&lt;x&gt;</t>
  </si>
  <si>
    <t>Média &lt;x&gt;</t>
  </si>
  <si>
    <r>
      <t>(xi-&lt;x&gt;)</t>
    </r>
    <r>
      <rPr>
        <b/>
        <i/>
        <vertAlign val="superscript"/>
        <sz val="12"/>
        <color theme="1"/>
        <rFont val="Calibri"/>
        <family val="2"/>
        <scheme val="minor"/>
      </rPr>
      <t>2</t>
    </r>
  </si>
  <si>
    <t>soma desv quadrados</t>
  </si>
  <si>
    <t>raizQ(&lt;x&gt;)</t>
  </si>
  <si>
    <t>nº de contagens n</t>
  </si>
  <si>
    <r>
      <t xml:space="preserve">desvio padrão, </t>
    </r>
    <r>
      <rPr>
        <sz val="12"/>
        <color theme="1"/>
        <rFont val="Calibri"/>
        <family val="2"/>
      </rPr>
      <t>σ</t>
    </r>
  </si>
  <si>
    <t>μ</t>
  </si>
  <si>
    <t>&lt;x&gt;-μσ</t>
  </si>
  <si>
    <t>&lt;x&gt;+μσ</t>
  </si>
  <si>
    <t>Contagens em intervalos de tempo de 30 segundos</t>
  </si>
  <si>
    <t># &lt; lim_inf</t>
  </si>
  <si>
    <t># &gt; lim_sup</t>
  </si>
  <si>
    <t xml:space="preserve"># desvio &gt; μσ </t>
  </si>
  <si>
    <t xml:space="preserve">% desvio &gt; μσ </t>
  </si>
  <si>
    <t>Aluminum</t>
  </si>
  <si>
    <r>
      <t>Z</t>
    </r>
    <r>
      <rPr>
        <b/>
        <sz val="11"/>
        <color theme="1"/>
        <rFont val="Calibri"/>
        <family val="2"/>
        <scheme val="minor"/>
      </rPr>
      <t> = 13</t>
    </r>
  </si>
  <si>
    <t>gamma</t>
  </si>
  <si>
    <r>
      <t>Energy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</si>
  <si>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r>
      <t>μ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ρ</t>
    </r>
    <r>
      <rPr>
        <b/>
        <vertAlign val="subscript"/>
        <sz val="11"/>
        <color theme="1"/>
        <rFont val="Calibri"/>
        <family val="2"/>
        <scheme val="minor"/>
      </rPr>
      <t> </t>
    </r>
  </si>
  <si>
    <r>
      <t> </t>
    </r>
    <r>
      <rPr>
        <sz val="11"/>
        <color theme="1"/>
        <rFont val="Calibri"/>
        <family val="2"/>
        <scheme val="minor"/>
      </rPr>
      <t>(MeV)</t>
    </r>
  </si>
  <si>
    <r>
      <t>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/g)</t>
    </r>
    <r>
      <rPr>
        <vertAlign val="subscript"/>
        <sz val="11"/>
        <color theme="1"/>
        <rFont val="Calibri"/>
        <family val="2"/>
        <scheme val="minor"/>
      </rPr>
      <t> </t>
    </r>
  </si>
  <si>
    <t>Bin</t>
  </si>
  <si>
    <t>Frequency</t>
  </si>
  <si>
    <t>min( x)</t>
  </si>
  <si>
    <t>max(x)</t>
  </si>
  <si>
    <t>x'</t>
  </si>
  <si>
    <t>g(x')</t>
  </si>
  <si>
    <t>&lt;660</t>
  </si>
  <si>
    <t>660-680</t>
  </si>
  <si>
    <t>680-700</t>
  </si>
  <si>
    <t>700-720</t>
  </si>
  <si>
    <t>720-740</t>
  </si>
  <si>
    <t>740-760</t>
  </si>
  <si>
    <t>760-780</t>
  </si>
  <si>
    <t>780-800</t>
  </si>
  <si>
    <t>800-820</t>
  </si>
  <si>
    <t>820-840</t>
  </si>
  <si>
    <t>&gt;840</t>
  </si>
  <si>
    <t>Contagem</t>
  </si>
  <si>
    <t xml:space="preserve"> &lt;-90</t>
  </si>
  <si>
    <t>-90 ... -70</t>
  </si>
  <si>
    <t>-70 … -50</t>
  </si>
  <si>
    <t>-50 ...-30</t>
  </si>
  <si>
    <t>-30 … -10</t>
  </si>
  <si>
    <t>-10 … 10</t>
  </si>
  <si>
    <t>10 … 30</t>
  </si>
  <si>
    <t>30 … 50</t>
  </si>
  <si>
    <t>50 … 70</t>
  </si>
  <si>
    <t>70 … 90</t>
  </si>
  <si>
    <t>&gt; 90</t>
  </si>
  <si>
    <t>σ =</t>
  </si>
  <si>
    <t>scale =</t>
  </si>
  <si>
    <t>&lt;x&gt; =</t>
  </si>
  <si>
    <t>T1+T2</t>
  </si>
  <si>
    <t>ln(#)</t>
  </si>
  <si>
    <t>#</t>
  </si>
  <si>
    <t>Dados -T1</t>
  </si>
  <si>
    <t>ln(dados)</t>
  </si>
  <si>
    <t>Dados</t>
  </si>
  <si>
    <t>Thk (cm)</t>
  </si>
  <si>
    <t>I0=</t>
  </si>
  <si>
    <t>mu=</t>
  </si>
  <si>
    <t>Exp Teorica 2</t>
  </si>
  <si>
    <t>Exp Teorica 1</t>
  </si>
  <si>
    <t>SqErr</t>
  </si>
  <si>
    <t>SQD=</t>
  </si>
  <si>
    <t>placa 10</t>
  </si>
  <si>
    <t>placas absorventes</t>
  </si>
  <si>
    <t>distância da fonte ao detector (cm)</t>
  </si>
  <si>
    <t>Ln(#)</t>
  </si>
  <si>
    <t>Data #</t>
  </si>
  <si>
    <t>distância da fonte ao detector: 5 cm</t>
  </si>
  <si>
    <t>Fundo=</t>
  </si>
  <si>
    <t>tempo de contagem (s):</t>
  </si>
  <si>
    <t>fonte</t>
  </si>
  <si>
    <t>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</si>
</sst>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E+00"/>
    <numFmt numFmtId="166" formatCode="0.0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6E6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/>
    </xf>
    <xf numFmtId="164" fontId="0" fillId="0" borderId="0" xfId="0" applyNumberFormat="1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1" fontId="13" fillId="2" borderId="5" xfId="0" applyNumberFormat="1" applyFont="1" applyFill="1" applyBorder="1" applyAlignment="1">
      <alignment horizontal="center" vertical="center" wrapText="1"/>
    </xf>
    <xf numFmtId="165" fontId="13" fillId="2" borderId="6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/>
    <xf numFmtId="2" fontId="0" fillId="0" borderId="2" xfId="0" applyNumberFormat="1" applyBorder="1"/>
    <xf numFmtId="0" fontId="0" fillId="0" borderId="9" xfId="0" applyBorder="1"/>
    <xf numFmtId="0" fontId="16" fillId="0" borderId="10" xfId="0" applyFont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9" xfId="0" applyNumberFormat="1" applyBorder="1"/>
    <xf numFmtId="166" fontId="0" fillId="0" borderId="2" xfId="0" applyNumberForma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3" borderId="0" xfId="0" applyNumberFormat="1" applyFill="1"/>
    <xf numFmtId="166" fontId="0" fillId="3" borderId="0" xfId="0" applyNumberFormat="1" applyFill="1"/>
    <xf numFmtId="2" fontId="0" fillId="4" borderId="0" xfId="0" applyNumberFormat="1" applyFill="1"/>
    <xf numFmtId="166" fontId="0" fillId="4" borderId="0" xfId="0" applyNumberFormat="1" applyFill="1"/>
    <xf numFmtId="167" fontId="0" fillId="0" borderId="0" xfId="0" applyNumberFormat="1"/>
    <xf numFmtId="166" fontId="0" fillId="0" borderId="0" xfId="0" applyNumberFormat="1" applyAlignment="1">
      <alignment horizontal="right"/>
    </xf>
    <xf numFmtId="0" fontId="15" fillId="5" borderId="11" xfId="0" applyFont="1" applyFill="1" applyBorder="1" applyAlignment="1">
      <alignment horizontal="center"/>
    </xf>
    <xf numFmtId="0" fontId="0" fillId="0" borderId="16" xfId="0" applyBorder="1"/>
    <xf numFmtId="0" fontId="15" fillId="5" borderId="12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right"/>
    </xf>
    <xf numFmtId="166" fontId="14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right"/>
    </xf>
    <xf numFmtId="2" fontId="14" fillId="4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left"/>
    </xf>
    <xf numFmtId="2" fontId="15" fillId="4" borderId="0" xfId="0" applyNumberFormat="1" applyFont="1" applyFill="1" applyAlignment="1">
      <alignment horizontal="center"/>
    </xf>
    <xf numFmtId="0" fontId="19" fillId="4" borderId="0" xfId="0" applyFont="1" applyFill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16" xfId="0" applyFont="1" applyBorder="1"/>
    <xf numFmtId="0" fontId="14" fillId="0" borderId="8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5" borderId="11" xfId="0" applyFont="1" applyFill="1" applyBorder="1" applyAlignment="1">
      <alignment horizontal="center" vertical="center" textRotation="90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5" borderId="17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contagens</a:t>
            </a:r>
          </a:p>
        </c:rich>
      </c:tx>
      <c:layout>
        <c:manualLayout>
          <c:xMode val="edge"/>
          <c:yMode val="edge"/>
          <c:x val="0.35304232804232805"/>
          <c:y val="7.97448165869218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5293147880324486E-2"/>
          <c:y val="0.10003987240829346"/>
          <c:w val="0.93392075990501189"/>
          <c:h val="0.75082413442338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'T7.1'!$W$4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'T7.1'!$V$5:$V$15</c:f>
              <c:strCache>
                <c:ptCount val="11"/>
                <c:pt idx="0">
                  <c:v>&lt;660</c:v>
                </c:pt>
                <c:pt idx="1">
                  <c:v>660-680</c:v>
                </c:pt>
                <c:pt idx="2">
                  <c:v>680-700</c:v>
                </c:pt>
                <c:pt idx="3">
                  <c:v>700-720</c:v>
                </c:pt>
                <c:pt idx="4">
                  <c:v>720-740</c:v>
                </c:pt>
                <c:pt idx="5">
                  <c:v>740-760</c:v>
                </c:pt>
                <c:pt idx="6">
                  <c:v>760-780</c:v>
                </c:pt>
                <c:pt idx="7">
                  <c:v>780-800</c:v>
                </c:pt>
                <c:pt idx="8">
                  <c:v>800-820</c:v>
                </c:pt>
                <c:pt idx="9">
                  <c:v>820-840</c:v>
                </c:pt>
                <c:pt idx="10">
                  <c:v>&gt;840</c:v>
                </c:pt>
              </c:strCache>
            </c:strRef>
          </c:cat>
          <c:val>
            <c:numRef>
              <c:f>'T7.1'!$W$5:$W$15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4-47A8-B66D-4C8663C1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78928"/>
        <c:axId val="425177840"/>
      </c:barChart>
      <c:lineChart>
        <c:grouping val="stacked"/>
        <c:varyColors val="0"/>
        <c:ser>
          <c:idx val="1"/>
          <c:order val="1"/>
          <c:tx>
            <c:strRef>
              <c:f>'T7.1'!$Z$4</c:f>
              <c:strCache>
                <c:ptCount val="1"/>
                <c:pt idx="0">
                  <c:v>g(x')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'T7.1'!$Z$5:$Z$15</c:f>
              <c:numCache>
                <c:formatCode>0.0</c:formatCode>
                <c:ptCount val="11"/>
                <c:pt idx="0">
                  <c:v>0.87641502467842702</c:v>
                </c:pt>
                <c:pt idx="1">
                  <c:v>2.6995483256594031</c:v>
                </c:pt>
                <c:pt idx="2">
                  <c:v>6.4758797832945865</c:v>
                </c:pt>
                <c:pt idx="3">
                  <c:v>12.098536225957169</c:v>
                </c:pt>
                <c:pt idx="4">
                  <c:v>17.603266338214976</c:v>
                </c:pt>
                <c:pt idx="5">
                  <c:v>19.947114020071638</c:v>
                </c:pt>
                <c:pt idx="6">
                  <c:v>17.603266338214976</c:v>
                </c:pt>
                <c:pt idx="7">
                  <c:v>12.098536225957169</c:v>
                </c:pt>
                <c:pt idx="8">
                  <c:v>6.4758797832945865</c:v>
                </c:pt>
                <c:pt idx="9">
                  <c:v>2.6995483256594031</c:v>
                </c:pt>
                <c:pt idx="10">
                  <c:v>0.87641502467842702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4-47A8-B66D-4C8663C1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78928"/>
        <c:axId val="425177840"/>
      </c:lineChart>
      <c:catAx>
        <c:axId val="42517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Intervalos</a:t>
                </a:r>
              </a:p>
            </c:rich>
          </c:tx>
          <c:layout>
            <c:manualLayout>
              <c:xMode val="edge"/>
              <c:yMode val="edge"/>
              <c:x val="0.46844203998309736"/>
              <c:y val="0.91943764206507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177840"/>
        <c:crosses val="autoZero"/>
        <c:auto val="1"/>
        <c:lblAlgn val="ctr"/>
        <c:lblOffset val="100"/>
        <c:noMultiLvlLbl val="0"/>
      </c:catAx>
      <c:valAx>
        <c:axId val="425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1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57611846138279"/>
          <c:y val="0.10992760175313014"/>
          <c:w val="0.12756069181828461"/>
          <c:h val="0.13424914964388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[1]Sheet2!$B$10:$B$47</c:f>
              <c:numCache>
                <c:formatCode>General</c:formatCode>
                <c:ptCount val="38"/>
                <c:pt idx="0">
                  <c:v>1E-3</c:v>
                </c:pt>
                <c:pt idx="1">
                  <c:v>1.5E-3</c:v>
                </c:pt>
                <c:pt idx="2">
                  <c:v>1.5596E-3</c:v>
                </c:pt>
                <c:pt idx="3">
                  <c:v>1.5596E-3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15</c:v>
                </c:pt>
                <c:pt idx="37">
                  <c:v>20</c:v>
                </c:pt>
              </c:numCache>
            </c:numRef>
          </c:xVal>
          <c:yVal>
            <c:numRef>
              <c:f>[1]Sheet2!$C$10:$C$47</c:f>
              <c:numCache>
                <c:formatCode>General</c:formatCode>
                <c:ptCount val="38"/>
                <c:pt idx="0">
                  <c:v>1185</c:v>
                </c:pt>
                <c:pt idx="1">
                  <c:v>402.2</c:v>
                </c:pt>
                <c:pt idx="2">
                  <c:v>362.1</c:v>
                </c:pt>
                <c:pt idx="3">
                  <c:v>3957</c:v>
                </c:pt>
                <c:pt idx="4">
                  <c:v>2263</c:v>
                </c:pt>
                <c:pt idx="5">
                  <c:v>788</c:v>
                </c:pt>
                <c:pt idx="6">
                  <c:v>360.5</c:v>
                </c:pt>
                <c:pt idx="7">
                  <c:v>193.4</c:v>
                </c:pt>
                <c:pt idx="8">
                  <c:v>115.3</c:v>
                </c:pt>
                <c:pt idx="9">
                  <c:v>50.33</c:v>
                </c:pt>
                <c:pt idx="10">
                  <c:v>26.23</c:v>
                </c:pt>
                <c:pt idx="11">
                  <c:v>7.9550000000000001</c:v>
                </c:pt>
                <c:pt idx="12">
                  <c:v>3.4409999999999998</c:v>
                </c:pt>
                <c:pt idx="13">
                  <c:v>1.1279999999999999</c:v>
                </c:pt>
                <c:pt idx="14">
                  <c:v>0.56850000000000001</c:v>
                </c:pt>
                <c:pt idx="15">
                  <c:v>0.36809999999999998</c:v>
                </c:pt>
                <c:pt idx="16">
                  <c:v>0.27779999999999999</c:v>
                </c:pt>
                <c:pt idx="17">
                  <c:v>0.20180000000000001</c:v>
                </c:pt>
                <c:pt idx="18">
                  <c:v>0.1704</c:v>
                </c:pt>
                <c:pt idx="19">
                  <c:v>0.13780000000000001</c:v>
                </c:pt>
                <c:pt idx="20">
                  <c:v>0.12230000000000001</c:v>
                </c:pt>
                <c:pt idx="21">
                  <c:v>0.1042</c:v>
                </c:pt>
                <c:pt idx="22">
                  <c:v>9.2759999999999995E-2</c:v>
                </c:pt>
                <c:pt idx="23">
                  <c:v>8.4449999999999997E-2</c:v>
                </c:pt>
                <c:pt idx="24">
                  <c:v>7.8020000000000006E-2</c:v>
                </c:pt>
                <c:pt idx="25">
                  <c:v>6.8409999999999999E-2</c:v>
                </c:pt>
                <c:pt idx="26">
                  <c:v>6.1460000000000001E-2</c:v>
                </c:pt>
                <c:pt idx="27">
                  <c:v>5.4960000000000002E-2</c:v>
                </c:pt>
                <c:pt idx="28">
                  <c:v>5.006E-2</c:v>
                </c:pt>
                <c:pt idx="29">
                  <c:v>4.3240000000000001E-2</c:v>
                </c:pt>
                <c:pt idx="30">
                  <c:v>3.5409999999999997E-2</c:v>
                </c:pt>
                <c:pt idx="31">
                  <c:v>3.1060000000000001E-2</c:v>
                </c:pt>
                <c:pt idx="32">
                  <c:v>2.836E-2</c:v>
                </c:pt>
                <c:pt idx="33">
                  <c:v>2.6550000000000001E-2</c:v>
                </c:pt>
                <c:pt idx="34">
                  <c:v>2.4369999999999999E-2</c:v>
                </c:pt>
                <c:pt idx="35">
                  <c:v>2.3179999999999999E-2</c:v>
                </c:pt>
                <c:pt idx="36">
                  <c:v>2.1950000000000001E-2</c:v>
                </c:pt>
                <c:pt idx="37">
                  <c:v>2.1680000000000001E-2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F-406B-910C-93D00531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3776"/>
        <c:axId val="126234320"/>
      </c:scatterChart>
      <c:valAx>
        <c:axId val="12623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234320"/>
        <c:crossesAt val="1.0000000000000002E-2"/>
        <c:crossBetween val="midCat"/>
      </c:valAx>
      <c:valAx>
        <c:axId val="12623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μ/ρ </a:t>
                </a:r>
                <a:r>
                  <a:rPr lang="en-US"/>
                  <a:t>(cm</a:t>
                </a:r>
                <a:r>
                  <a:rPr lang="en-US" baseline="30000"/>
                  <a:t>2</a:t>
                </a:r>
                <a:r>
                  <a:rPr lang="en-US"/>
                  <a:t>/g)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90708840575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23377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desvios à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'T7.1'!$W$4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'T7.1'!$V$24:$V$34</c:f>
              <c:strCache>
                <c:ptCount val="11"/>
                <c:pt idx="0">
                  <c:v> &lt;-90</c:v>
                </c:pt>
                <c:pt idx="1">
                  <c:v>-90 ... -70</c:v>
                </c:pt>
                <c:pt idx="2">
                  <c:v>-70 … -50</c:v>
                </c:pt>
                <c:pt idx="3">
                  <c:v>-50 ...-30</c:v>
                </c:pt>
                <c:pt idx="4">
                  <c:v>-30 … -10</c:v>
                </c:pt>
                <c:pt idx="5">
                  <c:v>-10 … 10</c:v>
                </c:pt>
                <c:pt idx="6">
                  <c:v>10 … 30</c:v>
                </c:pt>
                <c:pt idx="7">
                  <c:v>30 … 50</c:v>
                </c:pt>
                <c:pt idx="8">
                  <c:v>50 … 70</c:v>
                </c:pt>
                <c:pt idx="9">
                  <c:v>70 … 90</c:v>
                </c:pt>
                <c:pt idx="10">
                  <c:v>&gt; 90</c:v>
                </c:pt>
              </c:strCache>
            </c:strRef>
          </c:cat>
          <c:val>
            <c:numRef>
              <c:f>'T7.1'!$W$24:$W$34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D-4EB2-B206-EB18182A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94880"/>
        <c:axId val="114695968"/>
      </c:barChart>
      <c:lineChart>
        <c:grouping val="stacked"/>
        <c:varyColors val="0"/>
        <c:ser>
          <c:idx val="1"/>
          <c:order val="1"/>
          <c:tx>
            <c:strRef>
              <c:f>'T7.1'!$Z$23</c:f>
              <c:strCache>
                <c:ptCount val="1"/>
                <c:pt idx="0">
                  <c:v>g(x')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'T7.1'!$Z$24:$Z$34</c:f>
              <c:numCache>
                <c:formatCode>0.0</c:formatCode>
                <c:ptCount val="11"/>
                <c:pt idx="0">
                  <c:v>0.87641502467842702</c:v>
                </c:pt>
                <c:pt idx="1">
                  <c:v>2.6995483256594031</c:v>
                </c:pt>
                <c:pt idx="2">
                  <c:v>6.4758797832945865</c:v>
                </c:pt>
                <c:pt idx="3">
                  <c:v>12.098536225957169</c:v>
                </c:pt>
                <c:pt idx="4">
                  <c:v>17.603266338214976</c:v>
                </c:pt>
                <c:pt idx="5">
                  <c:v>19.947114020071638</c:v>
                </c:pt>
                <c:pt idx="6">
                  <c:v>17.603266338214976</c:v>
                </c:pt>
                <c:pt idx="7">
                  <c:v>12.098536225957169</c:v>
                </c:pt>
                <c:pt idx="8">
                  <c:v>6.4758797832945865</c:v>
                </c:pt>
                <c:pt idx="9">
                  <c:v>2.6995483256594031</c:v>
                </c:pt>
                <c:pt idx="10">
                  <c:v>0.87641502467842702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D-4EB2-B206-EB18182A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4880"/>
        <c:axId val="114695968"/>
      </c:lineChart>
      <c:catAx>
        <c:axId val="1146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95968"/>
        <c:crosses val="autoZero"/>
        <c:auto val="1"/>
        <c:lblAlgn val="ctr"/>
        <c:lblOffset val="100"/>
        <c:noMultiLvlLbl val="0"/>
      </c:catAx>
      <c:valAx>
        <c:axId val="114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 Dados experimentais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395359826597019"/>
          <c:y val="0.16893147502903602"/>
          <c:w val="0.83790236836833754"/>
          <c:h val="0.637088809020823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42122645628201E-2"/>
                  <c:y val="-0.21475577747903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'T7.2'!$M$3:$M$11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'T7.2'!$AD$3:$AD$11</c:f>
              <c:numCache>
                <c:formatCode>0.00</c:formatCode>
                <c:ptCount val="9"/>
                <c:pt idx="0">
                  <c:v>8.3265816217689554</c:v>
                </c:pt>
                <c:pt idx="1">
                  <c:v>7.5850090223052398</c:v>
                </c:pt>
                <c:pt idx="2">
                  <c:v>6.9658962486764864</c:v>
                </c:pt>
                <c:pt idx="3">
                  <c:v>6.5384259293952143</c:v>
                </c:pt>
                <c:pt idx="4">
                  <c:v>6.1431788197457857</c:v>
                </c:pt>
                <c:pt idx="5">
                  <c:v>5.3631576887300003</c:v>
                </c:pt>
                <c:pt idx="6">
                  <c:v>4.6583733977459882</c:v>
                </c:pt>
                <c:pt idx="7">
                  <c:v>4.2569979523766062</c:v>
                </c:pt>
                <c:pt idx="8">
                  <c:v>3.9802620575110943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461-BFA9-E399BAA8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745936"/>
        <c:axId val="-500737776"/>
      </c:scatterChart>
      <c:valAx>
        <c:axId val="-5007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layout>
            <c:manualLayout>
              <c:xMode val="edge"/>
              <c:yMode val="edge"/>
              <c:x val="0.40917196994211347"/>
              <c:y val="0.894279678454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00737776"/>
        <c:crosses val="autoZero"/>
        <c:crossBetween val="midCat"/>
      </c:valAx>
      <c:valAx>
        <c:axId val="-5007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ln(#)</a:t>
                </a:r>
              </a:p>
            </c:rich>
          </c:tx>
          <c:layout>
            <c:manualLayout>
              <c:xMode val="edge"/>
              <c:yMode val="edge"/>
              <c:x val="9.7847358121330719E-3"/>
              <c:y val="0.44220874829670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007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Exponencial</a:t>
            </a:r>
            <a:r>
              <a:rPr lang="en-GB" baseline="0"/>
              <a:t> Teórica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395359826597019"/>
          <c:y val="0.16893147502903602"/>
          <c:w val="0.83790236836833754"/>
          <c:h val="0.6370888090208236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0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44088324575865"/>
                  <c:y val="-8.649528565026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'T7.2'!$R$32:$R$40</c:f>
              <c:numCache>
                <c:formatCode>0.00</c:formatCode>
                <c:ptCount val="9"/>
                <c:pt idx="0">
                  <c:v>7.252099710305445</c:v>
                </c:pt>
                <c:pt idx="1">
                  <c:v>7.066332635401273</c:v>
                </c:pt>
                <c:pt idx="2">
                  <c:v>6.7876820230450159</c:v>
                </c:pt>
                <c:pt idx="3">
                  <c:v>6.5090314106887579</c:v>
                </c:pt>
                <c:pt idx="4">
                  <c:v>6.2303807983325008</c:v>
                </c:pt>
                <c:pt idx="5">
                  <c:v>5.3944289612637286</c:v>
                </c:pt>
                <c:pt idx="6">
                  <c:v>4.2798265118386984</c:v>
                </c:pt>
                <c:pt idx="7">
                  <c:v>3.5367582122220123</c:v>
                </c:pt>
                <c:pt idx="8">
                  <c:v>2.4221557627969825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0-49A2-8BE5-D4A72C5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147264"/>
        <c:axId val="-160105024"/>
      </c:scatterChart>
      <c:valAx>
        <c:axId val="-4991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layout>
            <c:manualLayout>
              <c:xMode val="edge"/>
              <c:yMode val="edge"/>
              <c:x val="0.40917196994211347"/>
              <c:y val="0.894279678454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0105024"/>
        <c:crosses val="autoZero"/>
        <c:crossBetween val="midCat"/>
      </c:valAx>
      <c:valAx>
        <c:axId val="-1601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ln(#)</a:t>
                </a:r>
              </a:p>
            </c:rich>
          </c:tx>
          <c:layout>
            <c:manualLayout>
              <c:xMode val="edge"/>
              <c:yMode val="edge"/>
              <c:x val="3.2615786040443573E-3"/>
              <c:y val="0.29702872506790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991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Exponencial Teórica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395359826597019"/>
          <c:y val="0.16893147502903602"/>
          <c:w val="0.83790236836833754"/>
          <c:h val="0.6370888090208236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317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56351860127072"/>
                  <c:y val="-6.9761401775997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'T7.2'!$U$32:$U$40</c:f>
              <c:numCache>
                <c:formatCode>0.00</c:formatCode>
                <c:ptCount val="9"/>
                <c:pt idx="0">
                  <c:v>7.9078528096043765</c:v>
                </c:pt>
                <c:pt idx="1">
                  <c:v>6.6993528669986544</c:v>
                </c:pt>
                <c:pt idx="2">
                  <c:v>4.8866029530900708</c:v>
                </c:pt>
                <c:pt idx="3">
                  <c:v>3.0738530391814871</c:v>
                </c:pt>
                <c:pt idx="4">
                  <c:v>1.2611031252729037</c:v>
                </c:pt>
                <c:pt idx="5">
                  <c:v>-4.1771466164528466</c:v>
                </c:pt>
                <c:pt idx="6">
                  <c:v>-11.428146272087181</c:v>
                </c:pt>
                <c:pt idx="7">
                  <c:v>-16.262146042510068</c:v>
                </c:pt>
                <c:pt idx="8">
                  <c:v>-23.513145698144402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4-4BB4-A86D-E2CEF3D1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03392"/>
        <c:axId val="-160109376"/>
      </c:scatterChart>
      <c:valAx>
        <c:axId val="-1601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layout>
            <c:manualLayout>
              <c:xMode val="edge"/>
              <c:yMode val="edge"/>
              <c:x val="0.40917196994211347"/>
              <c:y val="0.894279678454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0109376"/>
        <c:crosses val="autoZero"/>
        <c:crossBetween val="midCat"/>
      </c:valAx>
      <c:valAx>
        <c:axId val="-1601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ln(#)</a:t>
                </a:r>
              </a:p>
            </c:rich>
          </c:tx>
          <c:layout>
            <c:manualLayout>
              <c:xMode val="edge"/>
              <c:yMode val="edge"/>
              <c:x val="3.2615786040443573E-3"/>
              <c:y val="0.3028359259970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01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Decomposição</a:t>
            </a:r>
            <a:r>
              <a:rPr lang="en-GB" baseline="0"/>
              <a:t> da absorção em duas Exponenciais (LSE) </a:t>
            </a:r>
            <a:endParaRPr lang="en-GB"/>
          </a:p>
        </c:rich>
      </c:tx>
      <c:layout>
        <c:manualLayout>
          <c:xMode val="edge"/>
          <c:yMode val="edge"/>
          <c:x val="0.11514803353860925"/>
          <c:y val="2.1609940572663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8523239069824436E-2"/>
          <c:y val="0.13806646332903688"/>
          <c:w val="0.8680719597550306"/>
          <c:h val="0.74324870868009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'T7.2'!$N$31</c:f>
              <c:strCache>
                <c:ptCount val="1"/>
                <c:pt idx="0">
                  <c:v>Dados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'T7.2'!$N$32:$N$40</c:f>
              <c:numCache>
                <c:formatCode>0.0</c:formatCode>
                <c:ptCount val="9"/>
                <c:pt idx="0">
                  <c:v>4132.2677272727269</c:v>
                </c:pt>
                <c:pt idx="1">
                  <c:v>1968.4643939393939</c:v>
                </c:pt>
                <c:pt idx="2">
                  <c:v>1059.8643939393939</c:v>
                </c:pt>
                <c:pt idx="3">
                  <c:v>691.19772727272721</c:v>
                </c:pt>
                <c:pt idx="4">
                  <c:v>465.53106060606058</c:v>
                </c:pt>
                <c:pt idx="5">
                  <c:v>213.39772727272728</c:v>
                </c:pt>
                <c:pt idx="6">
                  <c:v>105.46439393939394</c:v>
                </c:pt>
                <c:pt idx="7">
                  <c:v>70.597727272727269</c:v>
                </c:pt>
                <c:pt idx="8">
                  <c:v>53.531060606060613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E-A232-3621B459A2F0}"/>
            </c:ext>
          </c:extLst>
        </c:ser>
        <c:ser>
          <c:idx val="1"/>
          <c:order val="1"/>
          <c:tx>
            <c:strRef>
              <c:f>'T7.2'!$Q$28</c:f>
              <c:strCache>
                <c:ptCount val="1"/>
                <c:pt idx="0">
                  <c:v>Exp Teorica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6350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'T7.2'!$Q$32:$Q$40</c:f>
              <c:numCache>
                <c:formatCode>0.0</c:formatCode>
                <c:ptCount val="9"/>
                <c:pt idx="0">
                  <c:v>1411.0645666538855</c:v>
                </c:pt>
                <c:pt idx="1">
                  <c:v>1171.842570264155</c:v>
                </c:pt>
                <c:pt idx="2">
                  <c:v>886.85546690915476</c:v>
                </c:pt>
                <c:pt idx="3">
                  <c:v>671.17600874438313</c:v>
                </c:pt>
                <c:pt idx="4">
                  <c:v>507.94887275604401</c:v>
                </c:pt>
                <c:pt idx="5">
                  <c:v>220.17638194862224</c:v>
                </c:pt>
                <c:pt idx="6">
                  <c:v>72.227908233305556</c:v>
                </c:pt>
                <c:pt idx="7">
                  <c:v>34.355365667598448</c:v>
                </c:pt>
                <c:pt idx="8">
                  <c:v>11.270128870316304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D-4C2E-A232-3621B459A2F0}"/>
            </c:ext>
          </c:extLst>
        </c:ser>
        <c:ser>
          <c:idx val="2"/>
          <c:order val="2"/>
          <c:tx>
            <c:strRef>
              <c:f>'T7.2'!$T$28</c:f>
              <c:strCache>
                <c:ptCount val="1"/>
                <c:pt idx="0">
                  <c:v>Exp Teorica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70C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'T7.2'!$T$32:$T$40</c:f>
              <c:numCache>
                <c:formatCode>0.0</c:formatCode>
                <c:ptCount val="9"/>
                <c:pt idx="0">
                  <c:v>2718.5469571060685</c:v>
                </c:pt>
                <c:pt idx="1">
                  <c:v>811.88026062101437</c:v>
                </c:pt>
                <c:pt idx="2">
                  <c:v>132.50269079277447</c:v>
                </c:pt>
                <c:pt idx="3">
                  <c:v>21.625064580208072</c:v>
                </c:pt>
                <c:pt idx="4">
                  <c:v>3.5293126147116025</c:v>
                </c:pt>
                <c:pt idx="5">
                  <c:v>1.5342222414466285E-2</c:v>
                </c:pt>
                <c:pt idx="6">
                  <c:v>1.0884766967603972E-5</c:v>
                </c:pt>
                <c:pt idx="7">
                  <c:v>8.6584411573129887E-8</c:v>
                </c:pt>
                <c:pt idx="8">
                  <c:v>6.1428593429331835E-11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D-4C2E-A232-3621B459A2F0}"/>
            </c:ext>
          </c:extLst>
        </c:ser>
        <c:ser>
          <c:idx val="3"/>
          <c:order val="3"/>
          <c:tx>
            <c:strRef>
              <c:f>'T7.2'!$W$31</c:f>
              <c:strCache>
                <c:ptCount val="1"/>
                <c:pt idx="0">
                  <c:v>T1+T2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27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'T7.2'!$M$32:$M$40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'T7.2'!$W$32:$W$40</c:f>
              <c:numCache>
                <c:formatCode>0.0</c:formatCode>
                <c:ptCount val="9"/>
                <c:pt idx="0">
                  <c:v>4129.6115237599543</c:v>
                </c:pt>
                <c:pt idx="1">
                  <c:v>1983.7228308851695</c:v>
                </c:pt>
                <c:pt idx="2">
                  <c:v>1019.3581577019293</c:v>
                </c:pt>
                <c:pt idx="3">
                  <c:v>692.80107332459124</c:v>
                </c:pt>
                <c:pt idx="4">
                  <c:v>511.47818537075563</c:v>
                </c:pt>
                <c:pt idx="5">
                  <c:v>220.1917241710367</c:v>
                </c:pt>
                <c:pt idx="6">
                  <c:v>72.227919118072521</c:v>
                </c:pt>
                <c:pt idx="7">
                  <c:v>34.355365754182863</c:v>
                </c:pt>
                <c:pt idx="8">
                  <c:v>11.270128870377732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7D-4C2E-A232-3621B459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06656"/>
        <c:axId val="-160108288"/>
      </c:scatterChart>
      <c:valAx>
        <c:axId val="-1601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0108288"/>
        <c:crosses val="autoZero"/>
        <c:crossBetween val="midCat"/>
      </c:valAx>
      <c:valAx>
        <c:axId val="-160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Contagem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01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66018839084798"/>
          <c:y val="0.17428310723720314"/>
          <c:w val="0.34140768882488909"/>
          <c:h val="0.35121896229746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Exponencial</a:t>
            </a:r>
            <a:r>
              <a:rPr lang="en-GB" baseline="0"/>
              <a:t> Teórica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395359826597019"/>
          <c:y val="0.16893147502903602"/>
          <c:w val="0.83790236836833754"/>
          <c:h val="0.637088809020823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0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3983954060536"/>
                  <c:y val="4.7906664106011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'T7.2'!$M$65:$M$68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0.2</c:v>
                </c:pt>
                <c:pt idx="3">
                  <c:v>0.26</c:v>
                </c:pt>
              </c:numCache>
            </c:numRef>
          </c:xVal>
          <c:yVal>
            <c:numRef>
              <c:f>'T7.2'!$O$65:$O$68</c:f>
              <c:numCache>
                <c:formatCode>0.000</c:formatCode>
                <c:ptCount val="4"/>
                <c:pt idx="0">
                  <c:v>5.3631576887300003</c:v>
                </c:pt>
                <c:pt idx="1">
                  <c:v>4.6583733977459882</c:v>
                </c:pt>
                <c:pt idx="2">
                  <c:v>4.2569979523766062</c:v>
                </c:pt>
                <c:pt idx="3">
                  <c:v>3.9802620575110943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B-4D75-B6EF-92E7DFFC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38992"/>
        <c:axId val="-36236816"/>
      </c:scatterChart>
      <c:valAx>
        <c:axId val="-36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layout>
            <c:manualLayout>
              <c:xMode val="edge"/>
              <c:yMode val="edge"/>
              <c:x val="0.40917196994211347"/>
              <c:y val="0.894279678454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236816"/>
        <c:crosses val="autoZero"/>
        <c:crossBetween val="midCat"/>
      </c:valAx>
      <c:valAx>
        <c:axId val="-36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ln(#)</a:t>
                </a:r>
              </a:p>
            </c:rich>
          </c:tx>
          <c:layout>
            <c:manualLayout>
              <c:xMode val="edge"/>
              <c:yMode val="edge"/>
              <c:x val="3.2615786040443573E-3"/>
              <c:y val="0.29702872506790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2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Exponencial Teórica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395359826597019"/>
          <c:y val="0.16893147502903602"/>
          <c:w val="0.83790236836833754"/>
          <c:h val="0.637088809020823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317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54207436399216"/>
                  <c:y val="-0.15177371121292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'T7.2'!$M$60:$M$64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</c:numCache>
            </c:numRef>
          </c:xVal>
          <c:yVal>
            <c:numRef>
              <c:f>'T7.2'!$U$60:$U$64</c:f>
              <c:numCache>
                <c:formatCode>0.000</c:formatCode>
                <c:ptCount val="5"/>
                <c:pt idx="0">
                  <c:v>8.2080674902590758</c:v>
                </c:pt>
                <c:pt idx="1">
                  <c:v>7.3429250002752502</c:v>
                </c:pt>
                <c:pt idx="2">
                  <c:v>6.5345803511713108</c:v>
                </c:pt>
                <c:pt idx="3">
                  <c:v>5.9010707427989724</c:v>
                </c:pt>
                <c:pt idx="4">
                  <c:v>5.1914253970506392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C-4A85-A866-518A5EDD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38448"/>
        <c:axId val="-36235184"/>
      </c:scatterChart>
      <c:valAx>
        <c:axId val="-36238448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layout>
            <c:manualLayout>
              <c:xMode val="edge"/>
              <c:yMode val="edge"/>
              <c:x val="0.40917196994211347"/>
              <c:y val="0.894279678454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235184"/>
        <c:crosses val="autoZero"/>
        <c:crossBetween val="midCat"/>
      </c:valAx>
      <c:valAx>
        <c:axId val="-36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ln(#)</a:t>
                </a:r>
              </a:p>
            </c:rich>
          </c:tx>
          <c:layout>
            <c:manualLayout>
              <c:xMode val="edge"/>
              <c:yMode val="edge"/>
              <c:x val="3.2615786040443573E-3"/>
              <c:y val="0.3028359259970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2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Decomposição</a:t>
            </a:r>
            <a:r>
              <a:rPr lang="en-GB" baseline="0"/>
              <a:t> da absorção em duas Exponenciais (separ.) </a:t>
            </a:r>
            <a:endParaRPr lang="en-GB"/>
          </a:p>
        </c:rich>
      </c:tx>
      <c:layout>
        <c:manualLayout>
          <c:xMode val="edge"/>
          <c:yMode val="edge"/>
          <c:x val="0.11514803353860925"/>
          <c:y val="2.1609940572663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8523239069824436E-2"/>
          <c:y val="0.13806646332903688"/>
          <c:w val="0.8680719597550306"/>
          <c:h val="0.74324870868009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'T7.2'!$N$59</c:f>
              <c:strCache>
                <c:ptCount val="1"/>
                <c:pt idx="0">
                  <c:v>Dados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'T7.2'!$M$60:$M$68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'T7.2'!$N$60:$N$68</c:f>
              <c:numCache>
                <c:formatCode>0.0</c:formatCode>
                <c:ptCount val="9"/>
                <c:pt idx="0">
                  <c:v>4132.2677272727269</c:v>
                </c:pt>
                <c:pt idx="1">
                  <c:v>1968.4643939393939</c:v>
                </c:pt>
                <c:pt idx="2">
                  <c:v>1059.8643939393939</c:v>
                </c:pt>
                <c:pt idx="3">
                  <c:v>691.19772727272721</c:v>
                </c:pt>
                <c:pt idx="4">
                  <c:v>465.53106060606058</c:v>
                </c:pt>
                <c:pt idx="5">
                  <c:v>213.39772727272728</c:v>
                </c:pt>
                <c:pt idx="6">
                  <c:v>105.46439393939394</c:v>
                </c:pt>
                <c:pt idx="7">
                  <c:v>70.597727272727269</c:v>
                </c:pt>
                <c:pt idx="8">
                  <c:v>53.531060606060613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A9-8A8B-0D78B5B7A8AC}"/>
            </c:ext>
          </c:extLst>
        </c:ser>
        <c:ser>
          <c:idx val="1"/>
          <c:order val="1"/>
          <c:tx>
            <c:strRef>
              <c:f>'T7.2'!$Q$28</c:f>
              <c:strCache>
                <c:ptCount val="1"/>
                <c:pt idx="0">
                  <c:v>Exp Teorica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6350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'T7.2'!$M$60:$M$68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'T7.2'!$Q$60:$Q$68</c:f>
              <c:numCache>
                <c:formatCode>0.0</c:formatCode>
                <c:ptCount val="9"/>
                <c:pt idx="0">
                  <c:v>461.82528500284349</c:v>
                </c:pt>
                <c:pt idx="1">
                  <c:v>423.23909960704344</c:v>
                </c:pt>
                <c:pt idx="2">
                  <c:v>371.31961726113803</c:v>
                </c:pt>
                <c:pt idx="3">
                  <c:v>325.76918883669106</c:v>
                </c:pt>
                <c:pt idx="4">
                  <c:v>285.80651132331843</c:v>
                </c:pt>
                <c:pt idx="5">
                  <c:v>193.0005096189056</c:v>
                </c:pt>
                <c:pt idx="6">
                  <c:v>114.34229506532732</c:v>
                </c:pt>
                <c:pt idx="7">
                  <c:v>80.656468848231043</c:v>
                </c:pt>
                <c:pt idx="8">
                  <c:v>47.784566881104347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1-42A9-8A8B-0D78B5B7A8AC}"/>
            </c:ext>
          </c:extLst>
        </c:ser>
        <c:ser>
          <c:idx val="2"/>
          <c:order val="2"/>
          <c:tx>
            <c:strRef>
              <c:f>'T7.2'!$T$28</c:f>
              <c:strCache>
                <c:ptCount val="1"/>
                <c:pt idx="0">
                  <c:v>Exp Teorica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70C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'T7.2'!$M$60:$M$68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'T7.2'!$W$60:$W$68</c:f>
              <c:numCache>
                <c:formatCode>0.0</c:formatCode>
                <c:ptCount val="9"/>
                <c:pt idx="0">
                  <c:v>3016.0326636956993</c:v>
                </c:pt>
                <c:pt idx="1">
                  <c:v>1776.5606827531101</c:v>
                </c:pt>
                <c:pt idx="2">
                  <c:v>803.14887469141877</c:v>
                </c:pt>
                <c:pt idx="3">
                  <c:v>363.08814057421927</c:v>
                </c:pt>
                <c:pt idx="4">
                  <c:v>164.14515662030422</c:v>
                </c:pt>
                <c:pt idx="5">
                  <c:v>15.166176254756488</c:v>
                </c:pt>
                <c:pt idx="6">
                  <c:v>0.63349053986334325</c:v>
                </c:pt>
                <c:pt idx="7">
                  <c:v>7.626339892104915E-2</c:v>
                </c:pt>
                <c:pt idx="8">
                  <c:v>3.1855189431256306E-3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1-42A9-8A8B-0D78B5B7A8AC}"/>
            </c:ext>
          </c:extLst>
        </c:ser>
        <c:ser>
          <c:idx val="3"/>
          <c:order val="3"/>
          <c:tx>
            <c:strRef>
              <c:f>'T7.2'!$Z$59</c:f>
              <c:strCache>
                <c:ptCount val="1"/>
                <c:pt idx="0">
                  <c:v>T1+T2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27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'T7.2'!$M$60:$M$68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0.1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</c:numCache>
            </c:numRef>
          </c:xVal>
          <c:yVal>
            <c:numRef>
              <c:f>'T7.2'!$Z$60:$Z$68</c:f>
              <c:numCache>
                <c:formatCode>0.0</c:formatCode>
                <c:ptCount val="9"/>
                <c:pt idx="0">
                  <c:v>3477.8579486985427</c:v>
                </c:pt>
                <c:pt idx="1">
                  <c:v>2199.7997823601536</c:v>
                </c:pt>
                <c:pt idx="2">
                  <c:v>1174.4684919525569</c:v>
                </c:pt>
                <c:pt idx="3">
                  <c:v>688.85732941091032</c:v>
                </c:pt>
                <c:pt idx="4">
                  <c:v>449.95166794362262</c:v>
                </c:pt>
                <c:pt idx="5">
                  <c:v>208.16668587366209</c:v>
                </c:pt>
                <c:pt idx="6">
                  <c:v>114.97578560519067</c:v>
                </c:pt>
                <c:pt idx="7">
                  <c:v>80.732732247152086</c:v>
                </c:pt>
                <c:pt idx="8">
                  <c:v>47.787752400047474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1-42A9-8A8B-0D78B5B7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9792"/>
        <c:axId val="-41298704"/>
      </c:scatterChart>
      <c:valAx>
        <c:axId val="-412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Espessura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1298704"/>
        <c:crosses val="autoZero"/>
        <c:crossBetween val="midCat"/>
      </c:valAx>
      <c:valAx>
        <c:axId val="-412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Contagem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12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66018839084798"/>
          <c:y val="0.17428310723720314"/>
          <c:w val="0.34140768882488909"/>
          <c:h val="0.35121896229746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518161</xdr:colOff>
      <xdr:row>10</xdr:row>
      <xdr:rowOff>48433</xdr:rowOff>
    </xdr:from>
    <xdr:ext cx="3390900" cy="881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865121" y="1930573"/>
              <a:ext cx="3390900" cy="88120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begChr m:val="⟨"/>
                                    <m:endChr m:val="⟩"/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d>
                            <m:r>
                              <a:rPr lang="en-GB" sz="18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5000000}"/>
                </a:ext>
              </a:extLst>
            </xdr:cNvPr>
            <xdr:cNvSpPr txBox="1"/>
          </xdr:nvSpPr>
          <xdr:spPr>
            <a:xfrm>
              <a:off x="2865121" y="1930573"/>
              <a:ext cx="3390900" cy="88120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𝑔(𝑥)=1/(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𝜋) </a:t>
              </a:r>
              <a:r>
                <a:rPr lang="en-US" sz="1800" b="0" i="0">
                  <a:latin typeface="Cambria Math" panose="02040503050406030204" pitchFamily="18" charset="0"/>
                </a:rPr>
                <a:t> 𝑒𝑥𝑝(−</a:t>
              </a:r>
              <a:r>
                <a:rPr lang="en-GB" sz="1800" b="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𝑥−⟨𝑥⟩</a:t>
              </a:r>
              <a:r>
                <a:rPr lang="en-GB" sz="1800" b="0" i="0">
                  <a:latin typeface="Cambria Math" panose="02040503050406030204" pitchFamily="18" charset="0"/>
                </a:rPr>
                <a:t>)</a:t>
              </a:r>
              <a:r>
                <a:rPr lang="en-GB" sz="18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800" b="0" i="0" baseline="30000">
                  <a:latin typeface="Cambria Math" panose="02040503050406030204" pitchFamily="18" charset="0"/>
                </a:rPr>
                <a:t>/(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𝜎^2 ))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5</xdr:col>
      <xdr:colOff>904</xdr:colOff>
      <xdr:row>3</xdr:row>
      <xdr:rowOff>49787</xdr:rowOff>
    </xdr:from>
    <xdr:ext cx="2528936" cy="994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957464" y="651767"/>
              <a:ext cx="2528936" cy="9941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20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20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d>
                                          <m:dPr>
                                            <m:begChr m:val="⟨"/>
                                            <m:endChr m:val="⟩"/>
                                            <m:ctrlPr>
                                              <a:rPr lang="en-U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20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8000000}"/>
                </a:ext>
              </a:extLst>
            </xdr:cNvPr>
            <xdr:cNvSpPr txBox="1"/>
          </xdr:nvSpPr>
          <xdr:spPr>
            <a:xfrm>
              <a:off x="2957464" y="651767"/>
              <a:ext cx="2528936" cy="9941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2000" b="0" i="0">
                  <a:latin typeface="Cambria Math" panose="02040503050406030204" pitchFamily="18" charset="0"/>
                </a:rPr>
                <a:t>=√((∑2_(𝑖=1)^𝑛▒(𝑥_𝑖−⟨𝑥⟩)^2 )/(𝑛−1))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9</xdr:col>
      <xdr:colOff>167640</xdr:colOff>
      <xdr:row>1</xdr:row>
      <xdr:rowOff>30480</xdr:rowOff>
    </xdr:from>
    <xdr:to>
      <xdr:col>19</xdr:col>
      <xdr:colOff>579120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18</xdr:row>
      <xdr:rowOff>114300</xdr:rowOff>
    </xdr:from>
    <xdr:to>
      <xdr:col>19</xdr:col>
      <xdr:colOff>586740</xdr:colOff>
      <xdr:row>35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144780</xdr:colOff>
      <xdr:row>36</xdr:row>
      <xdr:rowOff>106680</xdr:rowOff>
    </xdr:from>
    <xdr:to>
      <xdr:col>19</xdr:col>
      <xdr:colOff>510540</xdr:colOff>
      <xdr:row>53</xdr:row>
      <xdr:rowOff>45720</xdr:rowOff>
    </xdr:to>
    <xdr:pic>
      <xdr:nvPicPr>
        <xdr:cNvPr id="9" name="Picture 8" descr="Standard deviation diagram micro.sv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260" y="6865620"/>
          <a:ext cx="667512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190500</xdr:colOff>
      <xdr:row>38</xdr:row>
      <xdr:rowOff>15241</xdr:rowOff>
    </xdr:from>
    <xdr:ext cx="2286000" cy="480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307580" y="7139941"/>
              <a:ext cx="2286000" cy="48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1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Normalized</a:t>
              </a:r>
              <a:r>
                <a:rPr lang="en-US" sz="1600" b="0" i="1" baseline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distribution</a:t>
              </a:r>
              <a:endParaRPr lang="en-US" sz="1600" b="0" i="1" noProof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begChr m:val="⟨"/>
                      <m:endChr m:val="⟩"/>
                      <m:ctrlPr>
                        <a:rPr lang="en-US" sz="1600" b="0" i="1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GB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US" sz="1600" b="0" i="1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,	 </a:t>
              </a:r>
              <a14:m>
                <m:oMath xmlns:m="http://schemas.openxmlformats.org/officeDocument/2006/math">
                  <m:r>
                    <a:rPr lang="en-US" sz="1600" b="0" i="1" noProof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𝜎</m:t>
                  </m:r>
                  <m:r>
                    <a:rPr lang="en-US" sz="1600" b="0" i="1" noProof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endParaRPr lang="en-US" sz="1600" b="0" i="1" noProof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5000000}"/>
                </a:ext>
              </a:extLst>
            </xdr:cNvPr>
            <xdr:cNvSpPr txBox="1"/>
          </xdr:nvSpPr>
          <xdr:spPr>
            <a:xfrm>
              <a:off x="7307580" y="7139941"/>
              <a:ext cx="2286000" cy="48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1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Normalized</a:t>
              </a:r>
              <a:r>
                <a:rPr lang="en-US" sz="1600" b="0" i="1" baseline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distribution</a:t>
              </a:r>
              <a:endParaRPr lang="en-US" sz="1600" b="0" i="1" noProof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⟨𝑥⟩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600" b="0" i="1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,	 </a:t>
              </a:r>
              <a:r>
                <a:rPr lang="en-US" sz="1600" b="0" i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𝜎=</a:t>
              </a:r>
              <a:r>
                <a:rPr lang="en-GB" sz="1600" b="0" i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en-US" sz="1600" b="0" i="1" noProof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388620</xdr:colOff>
      <xdr:row>37</xdr:row>
      <xdr:rowOff>53341</xdr:rowOff>
    </xdr:from>
    <xdr:ext cx="2423160" cy="708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767060" y="6995161"/>
              <a:ext cx="2423160" cy="70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en-GB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kumimoji="0" lang="en-US" sz="16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5000000}"/>
                </a:ext>
              </a:extLst>
            </xdr:cNvPr>
            <xdr:cNvSpPr txBox="1"/>
          </xdr:nvSpPr>
          <xdr:spPr>
            <a:xfrm>
              <a:off x="10767060" y="6995161"/>
              <a:ext cx="2423160" cy="70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𝑔(𝑥)=1/√2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600" b="0" i="0">
                  <a:latin typeface="Cambria Math" panose="02040503050406030204" pitchFamily="18" charset="0"/>
                </a:rPr>
                <a:t> 𝑒𝑥𝑝(−</a:t>
              </a:r>
              <a:r>
                <a:rPr kumimoji="0" lang="en-GB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^2/(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𝜎^2 ))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0.04724</cdr:x>
      <cdr:y>0.0949</cdr:y>
    </cdr:from>
    <cdr:to>
      <cdr:x>0.33107</cdr:x>
      <cdr:y>0.25548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01BA43F-E1D1-88D1-02B6-57C1CD3119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7501" y="302260"/>
          <a:ext cx="1907540" cy="51148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251460</xdr:colOff>
      <xdr:row>1</xdr:row>
      <xdr:rowOff>0</xdr:rowOff>
    </xdr:from>
    <xdr:to>
      <xdr:col>36</xdr:col>
      <xdr:colOff>487680</xdr:colOff>
      <xdr:row>12</xdr:row>
      <xdr:rowOff>167640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B603D7-1CBA-40B8-8A02-1C3BFA974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14</xdr:row>
      <xdr:rowOff>0</xdr:rowOff>
    </xdr:from>
    <xdr:to>
      <xdr:col>19</xdr:col>
      <xdr:colOff>7620</xdr:colOff>
      <xdr:row>25</xdr:row>
      <xdr:rowOff>175260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2A388C6-6D28-4436-8031-470A26D03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14</xdr:row>
      <xdr:rowOff>0</xdr:rowOff>
    </xdr:from>
    <xdr:to>
      <xdr:col>26</xdr:col>
      <xdr:colOff>167640</xdr:colOff>
      <xdr:row>25</xdr:row>
      <xdr:rowOff>175260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1F84E43-DC43-4F38-B416-B921026F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53340</xdr:colOff>
      <xdr:row>14</xdr:row>
      <xdr:rowOff>30480</xdr:rowOff>
    </xdr:from>
    <xdr:to>
      <xdr:col>36</xdr:col>
      <xdr:colOff>502920</xdr:colOff>
      <xdr:row>39</xdr:row>
      <xdr:rowOff>160020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11A678A-B0B1-4989-8C53-A76A1C1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</xdr:colOff>
      <xdr:row>42</xdr:row>
      <xdr:rowOff>0</xdr:rowOff>
    </xdr:from>
    <xdr:to>
      <xdr:col>19</xdr:col>
      <xdr:colOff>7620</xdr:colOff>
      <xdr:row>53</xdr:row>
      <xdr:rowOff>175260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A1A0EA04-D2C9-491C-A493-18BFCF1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114300</xdr:colOff>
      <xdr:row>42</xdr:row>
      <xdr:rowOff>0</xdr:rowOff>
    </xdr:from>
    <xdr:to>
      <xdr:col>26</xdr:col>
      <xdr:colOff>167640</xdr:colOff>
      <xdr:row>53</xdr:row>
      <xdr:rowOff>175260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325A6D68-5273-4346-8D92-4E44CFCB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53340</xdr:colOff>
      <xdr:row>42</xdr:row>
      <xdr:rowOff>22860</xdr:rowOff>
    </xdr:from>
    <xdr:to>
      <xdr:col>36</xdr:col>
      <xdr:colOff>502920</xdr:colOff>
      <xdr:row>67</xdr:row>
      <xdr:rowOff>152400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1244AC8E-06E1-446D-95A4-D6428788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185737</xdr:rowOff>
    </xdr:from>
    <xdr:to>
      <xdr:col>10</xdr:col>
      <xdr:colOff>457200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6</xdr:col>
      <xdr:colOff>419100</xdr:colOff>
      <xdr:row>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0500"/>
          <a:ext cx="1638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/OneDrive%20-%20fisica.uminho.pt/Desktop/2020-2021/Sem2/LFM/T7/T7%20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7,1"/>
      <sheetName val="T7,1 (2)"/>
      <sheetName val="T7.1-data"/>
      <sheetName val="Sheet2"/>
      <sheetName val="Sheet4"/>
      <sheetName val="Sheet3"/>
      <sheetName val="Sheet6"/>
    </sheetNames>
    <sheetDataSet>
      <sheetData sheetId="0"/>
      <sheetData sheetId="1"/>
      <sheetData sheetId="2"/>
      <sheetData sheetId="3"/>
      <sheetData sheetId="4">
        <row r="10">
          <cell r="B10">
            <v>1E-3</v>
          </cell>
          <cell r="C10">
            <v>1185</v>
          </cell>
        </row>
        <row r="11">
          <cell r="B11">
            <v>1.5E-3</v>
          </cell>
          <cell r="C11">
            <v>402.2</v>
          </cell>
        </row>
        <row r="12">
          <cell r="B12">
            <v>1.5596E-3</v>
          </cell>
          <cell r="C12">
            <v>362.1</v>
          </cell>
        </row>
        <row r="13">
          <cell r="B13">
            <v>1.5596E-3</v>
          </cell>
          <cell r="C13">
            <v>3957</v>
          </cell>
        </row>
        <row r="14">
          <cell r="B14">
            <v>2E-3</v>
          </cell>
          <cell r="C14">
            <v>2263</v>
          </cell>
        </row>
        <row r="15">
          <cell r="B15">
            <v>3.0000000000000001E-3</v>
          </cell>
          <cell r="C15">
            <v>788</v>
          </cell>
        </row>
        <row r="16">
          <cell r="B16">
            <v>4.0000000000000001E-3</v>
          </cell>
          <cell r="C16">
            <v>360.5</v>
          </cell>
        </row>
        <row r="17">
          <cell r="B17">
            <v>5.0000000000000001E-3</v>
          </cell>
          <cell r="C17">
            <v>193.4</v>
          </cell>
        </row>
        <row r="18">
          <cell r="B18">
            <v>6.0000000000000001E-3</v>
          </cell>
          <cell r="C18">
            <v>115.3</v>
          </cell>
        </row>
        <row r="19">
          <cell r="B19">
            <v>8.0000000000000002E-3</v>
          </cell>
          <cell r="C19">
            <v>50.33</v>
          </cell>
        </row>
        <row r="20">
          <cell r="B20">
            <v>0.01</v>
          </cell>
          <cell r="C20">
            <v>26.23</v>
          </cell>
        </row>
        <row r="21">
          <cell r="B21">
            <v>1.4999999999999999E-2</v>
          </cell>
          <cell r="C21">
            <v>7.9550000000000001</v>
          </cell>
        </row>
        <row r="22">
          <cell r="B22">
            <v>0.02</v>
          </cell>
          <cell r="C22">
            <v>3.4409999999999998</v>
          </cell>
        </row>
        <row r="23">
          <cell r="B23">
            <v>0.03</v>
          </cell>
          <cell r="C23">
            <v>1.1279999999999999</v>
          </cell>
        </row>
        <row r="24">
          <cell r="B24">
            <v>0.04</v>
          </cell>
          <cell r="C24">
            <v>0.56850000000000001</v>
          </cell>
        </row>
        <row r="25">
          <cell r="B25">
            <v>0.05</v>
          </cell>
          <cell r="C25">
            <v>0.36809999999999998</v>
          </cell>
        </row>
        <row r="26">
          <cell r="B26">
            <v>0.06</v>
          </cell>
          <cell r="C26">
            <v>0.27779999999999999</v>
          </cell>
        </row>
        <row r="27">
          <cell r="B27">
            <v>0.08</v>
          </cell>
          <cell r="C27">
            <v>0.20180000000000001</v>
          </cell>
        </row>
        <row r="28">
          <cell r="B28">
            <v>0.1</v>
          </cell>
          <cell r="C28">
            <v>0.1704</v>
          </cell>
        </row>
        <row r="29">
          <cell r="B29">
            <v>0.15</v>
          </cell>
          <cell r="C29">
            <v>0.13780000000000001</v>
          </cell>
        </row>
        <row r="30">
          <cell r="B30">
            <v>0.2</v>
          </cell>
          <cell r="C30">
            <v>0.12230000000000001</v>
          </cell>
        </row>
        <row r="31">
          <cell r="B31">
            <v>0.3</v>
          </cell>
          <cell r="C31">
            <v>0.1042</v>
          </cell>
        </row>
        <row r="32">
          <cell r="B32">
            <v>0.4</v>
          </cell>
          <cell r="C32">
            <v>9.2759999999999995E-2</v>
          </cell>
        </row>
        <row r="33">
          <cell r="B33">
            <v>0.5</v>
          </cell>
          <cell r="C33">
            <v>8.4449999999999997E-2</v>
          </cell>
        </row>
        <row r="34">
          <cell r="B34">
            <v>0.6</v>
          </cell>
          <cell r="C34">
            <v>7.8020000000000006E-2</v>
          </cell>
        </row>
        <row r="35">
          <cell r="B35">
            <v>0.8</v>
          </cell>
          <cell r="C35">
            <v>6.8409999999999999E-2</v>
          </cell>
        </row>
        <row r="36">
          <cell r="B36">
            <v>1</v>
          </cell>
          <cell r="C36">
            <v>6.1460000000000001E-2</v>
          </cell>
        </row>
        <row r="37">
          <cell r="B37">
            <v>1.25</v>
          </cell>
          <cell r="C37">
            <v>5.4960000000000002E-2</v>
          </cell>
        </row>
        <row r="38">
          <cell r="B38">
            <v>1.5</v>
          </cell>
          <cell r="C38">
            <v>5.006E-2</v>
          </cell>
        </row>
        <row r="39">
          <cell r="B39">
            <v>2</v>
          </cell>
          <cell r="C39">
            <v>4.3240000000000001E-2</v>
          </cell>
        </row>
        <row r="40">
          <cell r="B40">
            <v>3</v>
          </cell>
          <cell r="C40">
            <v>3.5409999999999997E-2</v>
          </cell>
        </row>
        <row r="41">
          <cell r="B41">
            <v>4</v>
          </cell>
          <cell r="C41">
            <v>3.1060000000000001E-2</v>
          </cell>
        </row>
        <row r="42">
          <cell r="B42">
            <v>5</v>
          </cell>
          <cell r="C42">
            <v>2.836E-2</v>
          </cell>
        </row>
        <row r="43">
          <cell r="B43">
            <v>6</v>
          </cell>
          <cell r="C43">
            <v>2.6550000000000001E-2</v>
          </cell>
        </row>
        <row r="44">
          <cell r="B44">
            <v>8</v>
          </cell>
          <cell r="C44">
            <v>2.4369999999999999E-2</v>
          </cell>
        </row>
        <row r="45">
          <cell r="B45">
            <v>10</v>
          </cell>
          <cell r="C45">
            <v>2.3179999999999999E-2</v>
          </cell>
        </row>
        <row r="46">
          <cell r="B46">
            <v>15</v>
          </cell>
          <cell r="C46">
            <v>2.1950000000000001E-2</v>
          </cell>
        </row>
        <row r="47">
          <cell r="B47">
            <v>20</v>
          </cell>
          <cell r="C47">
            <v>2.1680000000000001E-2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zoomScaleNormal="100" workbookViewId="0">
      <selection activeCell="I59" sqref="I59"/>
    </sheetView>
  </sheetViews>
  <sheetFormatPr defaultRowHeight="15" x14ac:dyDescent="0.25"/>
  <cols>
    <col min="1" max="1" width="7" style="1" customWidth="1"/>
    <col min="2" max="2" width="9.140625" style="1"/>
    <col min="3" max="3" width="9.140625" style="1" customWidth="1"/>
    <col min="4" max="4" width="9" style="1" customWidth="1"/>
    <col min="6" max="6" width="21.5703125" style="4" customWidth="1"/>
    <col min="7" max="7" width="11.28515625" customWidth="1"/>
    <col min="8" max="8" width="10.140625" customWidth="1"/>
    <col min="15" max="15" width="12" bestFit="1" customWidth="1"/>
  </cols>
  <sheetData>
    <row r="1" spans="1:27" x14ac:dyDescent="0.25">
      <c r="A1" t="s">
        <v>12</v>
      </c>
    </row>
    <row r="2" spans="1:27" s="2" customFormat="1" ht="18.75" thickBot="1" x14ac:dyDescent="0.3">
      <c r="A2" s="5" t="s">
        <v>0</v>
      </c>
      <c r="B2" s="5" t="s">
        <v>1</v>
      </c>
      <c r="C2" s="5" t="s">
        <v>2</v>
      </c>
      <c r="D2" s="5" t="s">
        <v>4</v>
      </c>
      <c r="F2" s="3"/>
      <c r="V2"/>
      <c r="W2"/>
      <c r="X2"/>
      <c r="AA2"/>
    </row>
    <row r="3" spans="1:27" ht="16.5" thickTop="1" thickBot="1" x14ac:dyDescent="0.3">
      <c r="A3" s="1">
        <v>1</v>
      </c>
      <c r="B3" s="1">
        <v>730</v>
      </c>
      <c r="C3" s="30">
        <f t="shared" ref="C3:C34" si="0">B3-$G$22</f>
        <v>-17.779999999999973</v>
      </c>
      <c r="D3" s="29">
        <f>C3^2</f>
        <v>316.12839999999903</v>
      </c>
    </row>
    <row r="4" spans="1:27" x14ac:dyDescent="0.25">
      <c r="A4" s="1">
        <v>2</v>
      </c>
      <c r="B4" s="1">
        <v>774</v>
      </c>
      <c r="C4" s="30">
        <f t="shared" si="0"/>
        <v>26.220000000000027</v>
      </c>
      <c r="D4" s="29">
        <f t="shared" ref="D4:D67" si="1">C4^2</f>
        <v>687.48840000000143</v>
      </c>
      <c r="V4" s="34" t="s">
        <v>24</v>
      </c>
      <c r="W4" s="34" t="s">
        <v>41</v>
      </c>
      <c r="Y4" s="34" t="s">
        <v>28</v>
      </c>
      <c r="Z4" s="34" t="s">
        <v>29</v>
      </c>
    </row>
    <row r="5" spans="1:27" x14ac:dyDescent="0.25">
      <c r="A5" s="1">
        <v>3</v>
      </c>
      <c r="B5" s="1">
        <v>760</v>
      </c>
      <c r="C5" s="30">
        <f t="shared" si="0"/>
        <v>12.220000000000027</v>
      </c>
      <c r="D5" s="29">
        <f t="shared" si="1"/>
        <v>149.32840000000067</v>
      </c>
      <c r="V5" t="s">
        <v>30</v>
      </c>
      <c r="W5">
        <v>0</v>
      </c>
      <c r="Y5">
        <v>650</v>
      </c>
      <c r="Z5" s="36">
        <f>EXP((Y5-$Z$18)^2/(-2*$Z$19^2))/$Z$19/SQRT(2*PI())*$Z$20</f>
        <v>0.87641502467842702</v>
      </c>
    </row>
    <row r="6" spans="1:27" x14ac:dyDescent="0.25">
      <c r="A6" s="1">
        <v>4</v>
      </c>
      <c r="B6" s="1">
        <v>755</v>
      </c>
      <c r="C6" s="30">
        <f t="shared" si="0"/>
        <v>7.2200000000000273</v>
      </c>
      <c r="D6" s="29">
        <f t="shared" si="1"/>
        <v>52.128400000000397</v>
      </c>
      <c r="V6" t="s">
        <v>31</v>
      </c>
      <c r="W6">
        <v>2</v>
      </c>
      <c r="Y6">
        <v>670</v>
      </c>
      <c r="Z6" s="36">
        <f t="shared" ref="Z6:Z15" si="2">EXP((Y6-$Z$18)^2/(-2*$Z$19^2))/$Z$19/SQRT(2*PI())*$Z$20</f>
        <v>2.6995483256594031</v>
      </c>
    </row>
    <row r="7" spans="1:27" x14ac:dyDescent="0.25">
      <c r="A7" s="1">
        <v>5</v>
      </c>
      <c r="B7" s="1">
        <v>783</v>
      </c>
      <c r="C7" s="30">
        <f t="shared" si="0"/>
        <v>35.220000000000027</v>
      </c>
      <c r="D7" s="29">
        <f t="shared" si="1"/>
        <v>1240.4484000000018</v>
      </c>
      <c r="V7" t="s">
        <v>32</v>
      </c>
      <c r="W7">
        <v>11</v>
      </c>
      <c r="Y7">
        <v>690</v>
      </c>
      <c r="Z7" s="36">
        <f t="shared" si="2"/>
        <v>6.4758797832945865</v>
      </c>
    </row>
    <row r="8" spans="1:27" x14ac:dyDescent="0.25">
      <c r="A8" s="1">
        <v>6</v>
      </c>
      <c r="B8" s="1">
        <v>811</v>
      </c>
      <c r="C8" s="30">
        <f t="shared" si="0"/>
        <v>63.220000000000027</v>
      </c>
      <c r="D8" s="29">
        <f t="shared" si="1"/>
        <v>3996.7684000000036</v>
      </c>
      <c r="V8" t="s">
        <v>33</v>
      </c>
      <c r="W8">
        <v>14</v>
      </c>
      <c r="Y8">
        <v>710</v>
      </c>
      <c r="Z8" s="36">
        <f t="shared" si="2"/>
        <v>12.098536225957169</v>
      </c>
    </row>
    <row r="9" spans="1:27" x14ac:dyDescent="0.25">
      <c r="A9" s="1">
        <v>7</v>
      </c>
      <c r="B9" s="1">
        <v>763</v>
      </c>
      <c r="C9" s="30">
        <f t="shared" si="0"/>
        <v>15.220000000000027</v>
      </c>
      <c r="D9" s="29">
        <f t="shared" si="1"/>
        <v>231.64840000000083</v>
      </c>
      <c r="V9" t="s">
        <v>34</v>
      </c>
      <c r="W9">
        <v>16</v>
      </c>
      <c r="Y9">
        <v>730</v>
      </c>
      <c r="Z9" s="36">
        <f t="shared" si="2"/>
        <v>17.603266338214976</v>
      </c>
    </row>
    <row r="10" spans="1:27" x14ac:dyDescent="0.25">
      <c r="A10" s="1">
        <v>8</v>
      </c>
      <c r="B10" s="1">
        <v>771</v>
      </c>
      <c r="C10" s="30">
        <f t="shared" si="0"/>
        <v>23.220000000000027</v>
      </c>
      <c r="D10" s="29">
        <f t="shared" si="1"/>
        <v>539.16840000000127</v>
      </c>
      <c r="V10" t="s">
        <v>35</v>
      </c>
      <c r="W10">
        <v>19</v>
      </c>
      <c r="Y10">
        <v>750</v>
      </c>
      <c r="Z10" s="36">
        <f t="shared" si="2"/>
        <v>19.947114020071638</v>
      </c>
    </row>
    <row r="11" spans="1:27" x14ac:dyDescent="0.25">
      <c r="A11" s="1">
        <v>9</v>
      </c>
      <c r="B11" s="1">
        <v>770</v>
      </c>
      <c r="C11" s="30">
        <f t="shared" si="0"/>
        <v>22.220000000000027</v>
      </c>
      <c r="D11" s="29">
        <f t="shared" si="1"/>
        <v>493.72840000000122</v>
      </c>
      <c r="V11" t="s">
        <v>36</v>
      </c>
      <c r="W11">
        <v>21</v>
      </c>
      <c r="Y11">
        <v>770</v>
      </c>
      <c r="Z11" s="36">
        <f t="shared" si="2"/>
        <v>17.603266338214976</v>
      </c>
    </row>
    <row r="12" spans="1:27" x14ac:dyDescent="0.25">
      <c r="A12" s="1">
        <v>10</v>
      </c>
      <c r="B12" s="1">
        <v>797</v>
      </c>
      <c r="C12" s="30">
        <f t="shared" si="0"/>
        <v>49.220000000000027</v>
      </c>
      <c r="D12" s="29">
        <f t="shared" si="1"/>
        <v>2422.6084000000028</v>
      </c>
      <c r="V12" t="s">
        <v>37</v>
      </c>
      <c r="W12">
        <v>9</v>
      </c>
      <c r="Y12">
        <v>790</v>
      </c>
      <c r="Z12" s="36">
        <f t="shared" si="2"/>
        <v>12.098536225957169</v>
      </c>
    </row>
    <row r="13" spans="1:27" x14ac:dyDescent="0.25">
      <c r="A13" s="1">
        <v>11</v>
      </c>
      <c r="B13" s="1">
        <v>750</v>
      </c>
      <c r="C13" s="30">
        <f t="shared" si="0"/>
        <v>2.2200000000000273</v>
      </c>
      <c r="D13" s="29">
        <f t="shared" si="1"/>
        <v>4.9284000000001216</v>
      </c>
      <c r="V13" t="s">
        <v>38</v>
      </c>
      <c r="W13">
        <v>5</v>
      </c>
      <c r="Y13">
        <v>810</v>
      </c>
      <c r="Z13" s="36">
        <f t="shared" si="2"/>
        <v>6.4758797832945865</v>
      </c>
    </row>
    <row r="14" spans="1:27" x14ac:dyDescent="0.25">
      <c r="A14" s="1">
        <v>12</v>
      </c>
      <c r="B14" s="1">
        <v>791</v>
      </c>
      <c r="C14" s="30">
        <f t="shared" si="0"/>
        <v>43.220000000000027</v>
      </c>
      <c r="D14" s="29">
        <f t="shared" si="1"/>
        <v>1867.9684000000022</v>
      </c>
      <c r="V14" t="s">
        <v>39</v>
      </c>
      <c r="W14">
        <v>2</v>
      </c>
      <c r="Y14">
        <v>830</v>
      </c>
      <c r="Z14" s="36">
        <f t="shared" si="2"/>
        <v>2.6995483256594031</v>
      </c>
    </row>
    <row r="15" spans="1:27" ht="15.75" thickBot="1" x14ac:dyDescent="0.3">
      <c r="A15" s="1">
        <v>13</v>
      </c>
      <c r="B15" s="1">
        <v>800</v>
      </c>
      <c r="C15" s="30">
        <f t="shared" si="0"/>
        <v>52.220000000000027</v>
      </c>
      <c r="D15" s="29">
        <f t="shared" si="1"/>
        <v>2726.928400000003</v>
      </c>
      <c r="V15" s="33" t="s">
        <v>40</v>
      </c>
      <c r="W15" s="33">
        <v>1</v>
      </c>
      <c r="Y15" s="33">
        <v>850</v>
      </c>
      <c r="Z15" s="37">
        <f t="shared" si="2"/>
        <v>0.87641502467842702</v>
      </c>
    </row>
    <row r="16" spans="1:27" x14ac:dyDescent="0.25">
      <c r="A16" s="1">
        <v>14</v>
      </c>
      <c r="B16" s="1">
        <v>750</v>
      </c>
      <c r="C16" s="30">
        <f t="shared" si="0"/>
        <v>2.2200000000000273</v>
      </c>
      <c r="D16" s="29">
        <f t="shared" si="1"/>
        <v>4.9284000000001216</v>
      </c>
      <c r="H16" s="35"/>
    </row>
    <row r="17" spans="1:26" x14ac:dyDescent="0.25">
      <c r="A17" s="1">
        <v>15</v>
      </c>
      <c r="B17" s="1">
        <v>810</v>
      </c>
      <c r="C17" s="30">
        <f t="shared" si="0"/>
        <v>62.220000000000027</v>
      </c>
      <c r="D17" s="29">
        <f t="shared" si="1"/>
        <v>3871.3284000000035</v>
      </c>
    </row>
    <row r="18" spans="1:26" x14ac:dyDescent="0.25">
      <c r="A18" s="1">
        <v>16</v>
      </c>
      <c r="B18" s="1">
        <v>791</v>
      </c>
      <c r="C18" s="30">
        <f t="shared" si="0"/>
        <v>43.220000000000027</v>
      </c>
      <c r="D18" s="29">
        <f t="shared" si="1"/>
        <v>1867.9684000000022</v>
      </c>
      <c r="F18" s="1" t="s">
        <v>26</v>
      </c>
      <c r="G18">
        <f>MIN(B3:B102)</f>
        <v>664</v>
      </c>
      <c r="Y18" s="4" t="s">
        <v>55</v>
      </c>
      <c r="Z18" s="40">
        <v>750</v>
      </c>
    </row>
    <row r="19" spans="1:26" x14ac:dyDescent="0.25">
      <c r="A19" s="1">
        <v>17</v>
      </c>
      <c r="B19" s="1">
        <v>737</v>
      </c>
      <c r="C19" s="30">
        <f t="shared" si="0"/>
        <v>-10.779999999999973</v>
      </c>
      <c r="D19" s="29">
        <f t="shared" si="1"/>
        <v>116.20839999999941</v>
      </c>
      <c r="F19" s="1" t="s">
        <v>27</v>
      </c>
      <c r="G19">
        <f>MAX(B3:B102)</f>
        <v>869</v>
      </c>
      <c r="Y19" s="4" t="s">
        <v>53</v>
      </c>
      <c r="Z19" s="40">
        <v>40</v>
      </c>
    </row>
    <row r="20" spans="1:26" x14ac:dyDescent="0.25">
      <c r="A20" s="1">
        <v>18</v>
      </c>
      <c r="B20" s="1">
        <v>792</v>
      </c>
      <c r="C20" s="30">
        <f t="shared" si="0"/>
        <v>44.220000000000027</v>
      </c>
      <c r="D20" s="29">
        <f t="shared" si="1"/>
        <v>1955.4084000000023</v>
      </c>
      <c r="Y20" s="4" t="s">
        <v>54</v>
      </c>
      <c r="Z20" s="40">
        <v>2000</v>
      </c>
    </row>
    <row r="21" spans="1:26" ht="15.75" x14ac:dyDescent="0.25">
      <c r="A21" s="1">
        <v>19</v>
      </c>
      <c r="B21" s="1">
        <v>728</v>
      </c>
      <c r="C21" s="30">
        <f t="shared" si="0"/>
        <v>-19.779999999999973</v>
      </c>
      <c r="D21" s="29">
        <f t="shared" si="1"/>
        <v>391.24839999999892</v>
      </c>
      <c r="F21" s="11" t="s">
        <v>7</v>
      </c>
      <c r="G21" s="9">
        <v>100</v>
      </c>
    </row>
    <row r="22" spans="1:26" ht="16.5" thickBot="1" x14ac:dyDescent="0.3">
      <c r="A22" s="1">
        <v>20</v>
      </c>
      <c r="B22" s="1">
        <v>771</v>
      </c>
      <c r="C22" s="30">
        <f t="shared" si="0"/>
        <v>23.220000000000027</v>
      </c>
      <c r="D22" s="29">
        <f t="shared" si="1"/>
        <v>539.16840000000127</v>
      </c>
      <c r="F22" s="11" t="s">
        <v>3</v>
      </c>
      <c r="G22" s="31">
        <f>AVERAGE(B3:B102)</f>
        <v>747.78</v>
      </c>
    </row>
    <row r="23" spans="1:26" ht="15.75" x14ac:dyDescent="0.25">
      <c r="A23" s="1">
        <v>21</v>
      </c>
      <c r="B23" s="1">
        <v>735</v>
      </c>
      <c r="C23" s="30">
        <f t="shared" si="0"/>
        <v>-12.779999999999973</v>
      </c>
      <c r="D23" s="29">
        <f t="shared" si="1"/>
        <v>163.32839999999931</v>
      </c>
      <c r="E23" s="1"/>
      <c r="F23" s="12"/>
      <c r="V23" s="34" t="s">
        <v>24</v>
      </c>
      <c r="W23" s="34" t="s">
        <v>25</v>
      </c>
      <c r="Y23" s="34" t="s">
        <v>28</v>
      </c>
      <c r="Z23" s="34" t="s">
        <v>29</v>
      </c>
    </row>
    <row r="24" spans="1:26" ht="15.75" x14ac:dyDescent="0.25">
      <c r="A24" s="1">
        <v>22</v>
      </c>
      <c r="B24" s="1">
        <v>737</v>
      </c>
      <c r="C24" s="30">
        <f t="shared" si="0"/>
        <v>-10.779999999999973</v>
      </c>
      <c r="D24" s="29">
        <f t="shared" si="1"/>
        <v>116.20839999999941</v>
      </c>
      <c r="E24" s="1"/>
      <c r="F24" s="11" t="s">
        <v>5</v>
      </c>
      <c r="G24" s="32">
        <f>SUM(D3:D102)</f>
        <v>150175.16</v>
      </c>
      <c r="V24" t="s">
        <v>42</v>
      </c>
      <c r="W24">
        <v>0</v>
      </c>
      <c r="Y24">
        <v>-100</v>
      </c>
      <c r="Z24" s="36">
        <f>EXP((Y24)^2/(-2*$Z$19^2))/$Z$19/SQRT(2*PI())*$Z$20</f>
        <v>0.87641502467842702</v>
      </c>
    </row>
    <row r="25" spans="1:26" ht="15.75" x14ac:dyDescent="0.25">
      <c r="A25" s="1">
        <v>23</v>
      </c>
      <c r="B25" s="1">
        <v>775</v>
      </c>
      <c r="C25" s="30">
        <f t="shared" si="0"/>
        <v>27.220000000000027</v>
      </c>
      <c r="D25" s="29">
        <f t="shared" si="1"/>
        <v>740.92840000000149</v>
      </c>
      <c r="E25" s="1"/>
      <c r="F25" s="11" t="s">
        <v>8</v>
      </c>
      <c r="G25" s="32">
        <f>SQRT(G24/(G21-1))</f>
        <v>38.947667556360912</v>
      </c>
      <c r="V25" s="39" t="s">
        <v>43</v>
      </c>
      <c r="W25">
        <v>2</v>
      </c>
      <c r="Y25">
        <v>-80</v>
      </c>
      <c r="Z25" s="36">
        <f t="shared" ref="Z25:Z34" si="3">EXP((Y25)^2/(-2*$Z$19^2))/$Z$19/SQRT(2*PI())*$Z$20</f>
        <v>2.6995483256594031</v>
      </c>
    </row>
    <row r="26" spans="1:26" ht="15.75" x14ac:dyDescent="0.25">
      <c r="A26" s="1">
        <v>24</v>
      </c>
      <c r="B26" s="1">
        <v>770</v>
      </c>
      <c r="C26" s="30">
        <f t="shared" si="0"/>
        <v>22.220000000000027</v>
      </c>
      <c r="D26" s="29">
        <f t="shared" si="1"/>
        <v>493.72840000000122</v>
      </c>
      <c r="E26" s="1"/>
      <c r="F26" s="11" t="s">
        <v>6</v>
      </c>
      <c r="G26" s="9">
        <f>SQRT(G22)</f>
        <v>27.345566368243318</v>
      </c>
      <c r="I26" s="6"/>
      <c r="V26" s="39" t="s">
        <v>44</v>
      </c>
      <c r="W26">
        <v>8</v>
      </c>
      <c r="Y26">
        <v>-60</v>
      </c>
      <c r="Z26" s="36">
        <f t="shared" si="3"/>
        <v>6.4758797832945865</v>
      </c>
    </row>
    <row r="27" spans="1:26" x14ac:dyDescent="0.25">
      <c r="A27" s="1">
        <v>25</v>
      </c>
      <c r="B27" s="1">
        <v>753</v>
      </c>
      <c r="C27" s="30">
        <f t="shared" si="0"/>
        <v>5.2200000000000273</v>
      </c>
      <c r="D27" s="29">
        <f t="shared" si="1"/>
        <v>27.248400000000284</v>
      </c>
      <c r="E27" s="1"/>
      <c r="F27"/>
      <c r="G27" s="4"/>
      <c r="V27" s="39" t="s">
        <v>45</v>
      </c>
      <c r="W27">
        <v>16</v>
      </c>
      <c r="Y27">
        <v>-40</v>
      </c>
      <c r="Z27" s="36">
        <f t="shared" si="3"/>
        <v>12.098536225957169</v>
      </c>
    </row>
    <row r="28" spans="1:26" x14ac:dyDescent="0.25">
      <c r="A28" s="1">
        <v>26</v>
      </c>
      <c r="B28" s="1">
        <v>767</v>
      </c>
      <c r="C28" s="30">
        <f t="shared" si="0"/>
        <v>19.220000000000027</v>
      </c>
      <c r="D28" s="29">
        <f t="shared" si="1"/>
        <v>369.40840000000105</v>
      </c>
      <c r="E28" s="1"/>
      <c r="G28" s="41" t="s">
        <v>9</v>
      </c>
      <c r="H28" s="41"/>
      <c r="V28" s="39" t="s">
        <v>46</v>
      </c>
      <c r="W28">
        <v>15</v>
      </c>
      <c r="Y28">
        <v>-20</v>
      </c>
      <c r="Z28" s="36">
        <f t="shared" si="3"/>
        <v>17.603266338214976</v>
      </c>
    </row>
    <row r="29" spans="1:26" x14ac:dyDescent="0.25">
      <c r="A29" s="1">
        <v>27</v>
      </c>
      <c r="B29" s="1">
        <v>812</v>
      </c>
      <c r="C29" s="30">
        <f t="shared" si="0"/>
        <v>64.220000000000027</v>
      </c>
      <c r="D29" s="29">
        <f t="shared" si="1"/>
        <v>4124.2084000000032</v>
      </c>
      <c r="G29" s="8">
        <v>1</v>
      </c>
      <c r="H29" s="8">
        <v>0.67400000000000004</v>
      </c>
      <c r="V29" s="39" t="s">
        <v>47</v>
      </c>
      <c r="W29">
        <v>18</v>
      </c>
      <c r="Y29">
        <v>0</v>
      </c>
      <c r="Z29" s="36">
        <f t="shared" si="3"/>
        <v>19.947114020071638</v>
      </c>
    </row>
    <row r="30" spans="1:26" x14ac:dyDescent="0.25">
      <c r="A30" s="1">
        <v>28</v>
      </c>
      <c r="B30" s="1">
        <v>791</v>
      </c>
      <c r="C30" s="30">
        <f t="shared" si="0"/>
        <v>43.220000000000027</v>
      </c>
      <c r="D30" s="29">
        <f t="shared" si="1"/>
        <v>1867.9684000000022</v>
      </c>
      <c r="F30" s="7" t="s">
        <v>10</v>
      </c>
      <c r="G30" s="38">
        <f>G22-G25</f>
        <v>708.83233244363907</v>
      </c>
      <c r="H30" s="38">
        <f>G22-H29*G25</f>
        <v>721.5292720670127</v>
      </c>
      <c r="V30" s="39" t="s">
        <v>48</v>
      </c>
      <c r="W30">
        <v>21</v>
      </c>
      <c r="Y30">
        <v>20</v>
      </c>
      <c r="Z30" s="36">
        <f t="shared" si="3"/>
        <v>17.603266338214976</v>
      </c>
    </row>
    <row r="31" spans="1:26" x14ac:dyDescent="0.25">
      <c r="A31" s="1">
        <v>29</v>
      </c>
      <c r="B31" s="1">
        <v>780</v>
      </c>
      <c r="C31" s="30">
        <f t="shared" si="0"/>
        <v>32.220000000000027</v>
      </c>
      <c r="D31" s="29">
        <f t="shared" si="1"/>
        <v>1038.1284000000016</v>
      </c>
      <c r="F31" s="7" t="s">
        <v>11</v>
      </c>
      <c r="G31" s="38">
        <f>G22+G25</f>
        <v>786.72766755636087</v>
      </c>
      <c r="H31" s="38">
        <f>G22+H29*G25</f>
        <v>774.03072793298725</v>
      </c>
      <c r="Q31" s="36"/>
      <c r="V31" s="39" t="s">
        <v>49</v>
      </c>
      <c r="W31">
        <v>11</v>
      </c>
      <c r="Y31">
        <v>40</v>
      </c>
      <c r="Z31" s="36">
        <f t="shared" si="3"/>
        <v>12.098536225957169</v>
      </c>
    </row>
    <row r="32" spans="1:26" x14ac:dyDescent="0.25">
      <c r="A32" s="1">
        <v>30</v>
      </c>
      <c r="B32" s="1">
        <v>758</v>
      </c>
      <c r="C32" s="30">
        <f t="shared" si="0"/>
        <v>10.220000000000027</v>
      </c>
      <c r="D32" s="29">
        <f t="shared" si="1"/>
        <v>104.44840000000056</v>
      </c>
      <c r="F32" s="8" t="s">
        <v>13</v>
      </c>
      <c r="G32" s="8">
        <f>COUNTIF($B$3:$B$202,"&lt;"&amp;G30)</f>
        <v>18</v>
      </c>
      <c r="H32" s="8">
        <f>COUNTIF($B$3:$B$202,"&lt;"&amp;H30)</f>
        <v>27</v>
      </c>
      <c r="Q32" s="36"/>
      <c r="V32" s="39" t="s">
        <v>50</v>
      </c>
      <c r="W32">
        <v>6</v>
      </c>
      <c r="Y32">
        <v>60</v>
      </c>
      <c r="Z32" s="36">
        <f t="shared" si="3"/>
        <v>6.4758797832945865</v>
      </c>
    </row>
    <row r="33" spans="1:26" x14ac:dyDescent="0.25">
      <c r="A33" s="1">
        <v>31</v>
      </c>
      <c r="B33" s="1">
        <v>792</v>
      </c>
      <c r="C33" s="30">
        <f t="shared" si="0"/>
        <v>44.220000000000027</v>
      </c>
      <c r="D33" s="29">
        <f t="shared" si="1"/>
        <v>1955.4084000000023</v>
      </c>
      <c r="F33" s="8" t="s">
        <v>14</v>
      </c>
      <c r="G33" s="8">
        <f>COUNTIF($B$3:$B$202,"&gt;"&amp;G31)</f>
        <v>16</v>
      </c>
      <c r="H33" s="8">
        <f>COUNTIF($B$3:$B$202,"&gt;"&amp;H31)</f>
        <v>23</v>
      </c>
      <c r="Q33" s="36"/>
      <c r="V33" s="39" t="s">
        <v>51</v>
      </c>
      <c r="W33">
        <v>2</v>
      </c>
      <c r="Y33">
        <v>80</v>
      </c>
      <c r="Z33" s="36">
        <f t="shared" si="3"/>
        <v>2.6995483256594031</v>
      </c>
    </row>
    <row r="34" spans="1:26" ht="15.75" thickBot="1" x14ac:dyDescent="0.3">
      <c r="A34" s="1">
        <v>32</v>
      </c>
      <c r="B34" s="1">
        <v>826</v>
      </c>
      <c r="C34" s="30">
        <f t="shared" si="0"/>
        <v>78.220000000000027</v>
      </c>
      <c r="D34" s="29">
        <f t="shared" si="1"/>
        <v>6118.3684000000039</v>
      </c>
      <c r="F34" s="8" t="s">
        <v>15</v>
      </c>
      <c r="G34" s="8">
        <f>G32+G33</f>
        <v>34</v>
      </c>
      <c r="H34" s="8">
        <f>H32+H33</f>
        <v>50</v>
      </c>
      <c r="Q34" s="36"/>
      <c r="V34" s="33" t="s">
        <v>52</v>
      </c>
      <c r="W34" s="33">
        <v>1</v>
      </c>
      <c r="Y34" s="33">
        <v>100</v>
      </c>
      <c r="Z34" s="36">
        <f t="shared" si="3"/>
        <v>0.87641502467842702</v>
      </c>
    </row>
    <row r="35" spans="1:26" x14ac:dyDescent="0.25">
      <c r="A35" s="1">
        <v>33</v>
      </c>
      <c r="B35" s="1">
        <v>830</v>
      </c>
      <c r="C35" s="30">
        <f t="shared" ref="C35:C66" si="4">B35-$G$22</f>
        <v>82.220000000000027</v>
      </c>
      <c r="D35" s="29">
        <f t="shared" si="1"/>
        <v>6760.1284000000041</v>
      </c>
      <c r="F35" s="8" t="s">
        <v>16</v>
      </c>
      <c r="G35" s="10">
        <f>G34/100</f>
        <v>0.34</v>
      </c>
      <c r="H35" s="10">
        <f>H34/100</f>
        <v>0.5</v>
      </c>
      <c r="Q35" s="36"/>
    </row>
    <row r="36" spans="1:26" x14ac:dyDescent="0.25">
      <c r="A36" s="1">
        <v>34</v>
      </c>
      <c r="B36" s="1">
        <v>869</v>
      </c>
      <c r="C36" s="30">
        <f t="shared" si="4"/>
        <v>121.22000000000003</v>
      </c>
      <c r="D36" s="29">
        <f t="shared" si="1"/>
        <v>14694.288400000007</v>
      </c>
      <c r="Q36" s="36"/>
    </row>
    <row r="37" spans="1:26" x14ac:dyDescent="0.25">
      <c r="A37" s="1">
        <v>35</v>
      </c>
      <c r="B37" s="1">
        <v>815</v>
      </c>
      <c r="C37" s="30">
        <f t="shared" si="4"/>
        <v>67.220000000000027</v>
      </c>
      <c r="D37" s="29">
        <f t="shared" si="1"/>
        <v>4518.5284000000038</v>
      </c>
      <c r="Q37" s="36"/>
      <c r="Z37" s="36"/>
    </row>
    <row r="38" spans="1:26" x14ac:dyDescent="0.25">
      <c r="A38" s="1">
        <v>36</v>
      </c>
      <c r="B38" s="1">
        <v>761</v>
      </c>
      <c r="C38" s="30">
        <f t="shared" si="4"/>
        <v>13.220000000000027</v>
      </c>
      <c r="D38" s="29">
        <f t="shared" si="1"/>
        <v>174.76840000000072</v>
      </c>
      <c r="Q38" s="36"/>
    </row>
    <row r="39" spans="1:26" x14ac:dyDescent="0.25">
      <c r="A39" s="1">
        <v>37</v>
      </c>
      <c r="B39" s="1">
        <v>771</v>
      </c>
      <c r="C39" s="30">
        <f t="shared" si="4"/>
        <v>23.220000000000027</v>
      </c>
      <c r="D39" s="29">
        <f t="shared" si="1"/>
        <v>539.16840000000127</v>
      </c>
      <c r="Q39" s="36"/>
    </row>
    <row r="40" spans="1:26" x14ac:dyDescent="0.25">
      <c r="A40" s="1">
        <v>38</v>
      </c>
      <c r="B40" s="1">
        <v>756</v>
      </c>
      <c r="C40" s="30">
        <f t="shared" si="4"/>
        <v>8.2200000000000273</v>
      </c>
      <c r="D40" s="29">
        <f t="shared" si="1"/>
        <v>67.568400000000452</v>
      </c>
      <c r="Q40" s="36"/>
    </row>
    <row r="41" spans="1:26" x14ac:dyDescent="0.25">
      <c r="A41" s="1">
        <v>39</v>
      </c>
      <c r="B41" s="1">
        <v>744</v>
      </c>
      <c r="C41" s="30">
        <f t="shared" si="4"/>
        <v>-3.7799999999999727</v>
      </c>
      <c r="D41" s="29">
        <f t="shared" si="1"/>
        <v>14.288399999999793</v>
      </c>
      <c r="Q41" s="36"/>
    </row>
    <row r="42" spans="1:26" x14ac:dyDescent="0.25">
      <c r="A42" s="1">
        <v>40</v>
      </c>
      <c r="B42" s="1">
        <v>761</v>
      </c>
      <c r="C42" s="30">
        <f t="shared" si="4"/>
        <v>13.220000000000027</v>
      </c>
      <c r="D42" s="29">
        <f t="shared" si="1"/>
        <v>174.76840000000072</v>
      </c>
    </row>
    <row r="43" spans="1:26" x14ac:dyDescent="0.25">
      <c r="A43" s="1">
        <v>41</v>
      </c>
      <c r="B43" s="1">
        <v>806</v>
      </c>
      <c r="C43" s="30">
        <f t="shared" si="4"/>
        <v>58.220000000000027</v>
      </c>
      <c r="D43" s="29">
        <f t="shared" si="1"/>
        <v>3389.5684000000033</v>
      </c>
    </row>
    <row r="44" spans="1:26" x14ac:dyDescent="0.25">
      <c r="A44" s="1">
        <v>42</v>
      </c>
      <c r="B44" s="1">
        <v>769</v>
      </c>
      <c r="C44" s="30">
        <f t="shared" si="4"/>
        <v>21.220000000000027</v>
      </c>
      <c r="D44" s="29">
        <f t="shared" si="1"/>
        <v>450.28840000000116</v>
      </c>
    </row>
    <row r="45" spans="1:26" x14ac:dyDescent="0.25">
      <c r="A45" s="1">
        <v>43</v>
      </c>
      <c r="B45" s="1">
        <v>772</v>
      </c>
      <c r="C45" s="30">
        <f t="shared" si="4"/>
        <v>24.220000000000027</v>
      </c>
      <c r="D45" s="29">
        <f t="shared" si="1"/>
        <v>586.60840000000132</v>
      </c>
    </row>
    <row r="46" spans="1:26" x14ac:dyDescent="0.25">
      <c r="A46" s="1">
        <v>44</v>
      </c>
      <c r="B46" s="1">
        <v>745</v>
      </c>
      <c r="C46" s="30">
        <f t="shared" si="4"/>
        <v>-2.7799999999999727</v>
      </c>
      <c r="D46" s="29">
        <f t="shared" si="1"/>
        <v>7.7283999999998487</v>
      </c>
    </row>
    <row r="47" spans="1:26" x14ac:dyDescent="0.25">
      <c r="A47" s="1">
        <v>45</v>
      </c>
      <c r="B47" s="1">
        <v>746</v>
      </c>
      <c r="C47" s="30">
        <f t="shared" si="4"/>
        <v>-1.7799999999999727</v>
      </c>
      <c r="D47" s="29">
        <f t="shared" si="1"/>
        <v>3.1683999999999028</v>
      </c>
    </row>
    <row r="48" spans="1:26" x14ac:dyDescent="0.25">
      <c r="A48" s="1">
        <v>46</v>
      </c>
      <c r="B48" s="1">
        <v>780</v>
      </c>
      <c r="C48" s="30">
        <f t="shared" si="4"/>
        <v>32.220000000000027</v>
      </c>
      <c r="D48" s="29">
        <f t="shared" si="1"/>
        <v>1038.1284000000016</v>
      </c>
    </row>
    <row r="49" spans="1:4" x14ac:dyDescent="0.25">
      <c r="A49" s="1">
        <v>47</v>
      </c>
      <c r="B49" s="1">
        <v>767</v>
      </c>
      <c r="C49" s="30">
        <f t="shared" si="4"/>
        <v>19.220000000000027</v>
      </c>
      <c r="D49" s="29">
        <f t="shared" si="1"/>
        <v>369.40840000000105</v>
      </c>
    </row>
    <row r="50" spans="1:4" x14ac:dyDescent="0.25">
      <c r="A50" s="1">
        <v>48</v>
      </c>
      <c r="B50" s="1">
        <v>747</v>
      </c>
      <c r="C50" s="30">
        <f t="shared" si="4"/>
        <v>-0.77999999999997272</v>
      </c>
      <c r="D50" s="29">
        <f t="shared" si="1"/>
        <v>0.60839999999995742</v>
      </c>
    </row>
    <row r="51" spans="1:4" x14ac:dyDescent="0.25">
      <c r="A51" s="1">
        <v>49</v>
      </c>
      <c r="B51" s="1">
        <v>777</v>
      </c>
      <c r="C51" s="30">
        <f t="shared" si="4"/>
        <v>29.220000000000027</v>
      </c>
      <c r="D51" s="29">
        <f t="shared" si="1"/>
        <v>853.8084000000016</v>
      </c>
    </row>
    <row r="52" spans="1:4" x14ac:dyDescent="0.25">
      <c r="A52" s="1">
        <v>50</v>
      </c>
      <c r="B52" s="1">
        <v>778</v>
      </c>
      <c r="C52" s="30">
        <f t="shared" si="4"/>
        <v>30.220000000000027</v>
      </c>
      <c r="D52" s="29">
        <f t="shared" si="1"/>
        <v>913.24840000000165</v>
      </c>
    </row>
    <row r="53" spans="1:4" x14ac:dyDescent="0.25">
      <c r="A53" s="1">
        <v>51</v>
      </c>
      <c r="B53" s="1">
        <v>772</v>
      </c>
      <c r="C53" s="30">
        <f t="shared" si="4"/>
        <v>24.220000000000027</v>
      </c>
      <c r="D53" s="29">
        <f t="shared" si="1"/>
        <v>586.60840000000132</v>
      </c>
    </row>
    <row r="54" spans="1:4" x14ac:dyDescent="0.25">
      <c r="A54" s="1">
        <v>52</v>
      </c>
      <c r="B54" s="1">
        <v>769</v>
      </c>
      <c r="C54" s="30">
        <f t="shared" si="4"/>
        <v>21.220000000000027</v>
      </c>
      <c r="D54" s="29">
        <f t="shared" si="1"/>
        <v>450.28840000000116</v>
      </c>
    </row>
    <row r="55" spans="1:4" x14ac:dyDescent="0.25">
      <c r="A55" s="1">
        <v>53</v>
      </c>
      <c r="B55" s="1">
        <v>756</v>
      </c>
      <c r="C55" s="30">
        <f t="shared" si="4"/>
        <v>8.2200000000000273</v>
      </c>
      <c r="D55" s="29">
        <f t="shared" si="1"/>
        <v>67.568400000000452</v>
      </c>
    </row>
    <row r="56" spans="1:4" x14ac:dyDescent="0.25">
      <c r="A56" s="1">
        <v>54</v>
      </c>
      <c r="B56" s="1">
        <v>788</v>
      </c>
      <c r="C56" s="30">
        <f t="shared" si="4"/>
        <v>40.220000000000027</v>
      </c>
      <c r="D56" s="29">
        <f t="shared" si="1"/>
        <v>1617.6484000000021</v>
      </c>
    </row>
    <row r="57" spans="1:4" x14ac:dyDescent="0.25">
      <c r="A57" s="1">
        <v>55</v>
      </c>
      <c r="B57" s="1">
        <v>752</v>
      </c>
      <c r="C57" s="30">
        <f t="shared" si="4"/>
        <v>4.2200000000000273</v>
      </c>
      <c r="D57" s="29">
        <f t="shared" si="1"/>
        <v>17.80840000000023</v>
      </c>
    </row>
    <row r="58" spans="1:4" x14ac:dyDescent="0.25">
      <c r="A58" s="1">
        <v>56</v>
      </c>
      <c r="B58" s="1">
        <v>748</v>
      </c>
      <c r="C58" s="30">
        <f t="shared" si="4"/>
        <v>0.22000000000002728</v>
      </c>
      <c r="D58" s="29">
        <f t="shared" si="1"/>
        <v>4.8400000000012003E-2</v>
      </c>
    </row>
    <row r="59" spans="1:4" x14ac:dyDescent="0.25">
      <c r="A59" s="1">
        <v>57</v>
      </c>
      <c r="B59" s="1">
        <v>733</v>
      </c>
      <c r="C59" s="30">
        <f t="shared" si="4"/>
        <v>-14.779999999999973</v>
      </c>
      <c r="D59" s="29">
        <f t="shared" si="1"/>
        <v>218.4483999999992</v>
      </c>
    </row>
    <row r="60" spans="1:4" x14ac:dyDescent="0.25">
      <c r="A60" s="1">
        <v>58</v>
      </c>
      <c r="B60" s="1">
        <v>731</v>
      </c>
      <c r="C60" s="30">
        <f t="shared" si="4"/>
        <v>-16.779999999999973</v>
      </c>
      <c r="D60" s="29">
        <f t="shared" si="1"/>
        <v>281.56839999999909</v>
      </c>
    </row>
    <row r="61" spans="1:4" x14ac:dyDescent="0.25">
      <c r="A61" s="1">
        <v>59</v>
      </c>
      <c r="B61" s="1">
        <v>707</v>
      </c>
      <c r="C61" s="30">
        <f t="shared" si="4"/>
        <v>-40.779999999999973</v>
      </c>
      <c r="D61" s="29">
        <f t="shared" si="1"/>
        <v>1663.0083999999977</v>
      </c>
    </row>
    <row r="62" spans="1:4" x14ac:dyDescent="0.25">
      <c r="A62" s="1">
        <v>60</v>
      </c>
      <c r="B62" s="1">
        <v>698</v>
      </c>
      <c r="C62" s="30">
        <f t="shared" si="4"/>
        <v>-49.779999999999973</v>
      </c>
      <c r="D62" s="29">
        <f t="shared" si="1"/>
        <v>2478.0483999999974</v>
      </c>
    </row>
    <row r="63" spans="1:4" x14ac:dyDescent="0.25">
      <c r="A63" s="1">
        <v>61</v>
      </c>
      <c r="B63" s="1">
        <v>710</v>
      </c>
      <c r="C63" s="30">
        <f t="shared" si="4"/>
        <v>-37.779999999999973</v>
      </c>
      <c r="D63" s="29">
        <f t="shared" si="1"/>
        <v>1427.3283999999978</v>
      </c>
    </row>
    <row r="64" spans="1:4" x14ac:dyDescent="0.25">
      <c r="A64" s="1">
        <v>62</v>
      </c>
      <c r="B64" s="1">
        <v>760</v>
      </c>
      <c r="C64" s="30">
        <f t="shared" si="4"/>
        <v>12.220000000000027</v>
      </c>
      <c r="D64" s="29">
        <f t="shared" si="1"/>
        <v>149.32840000000067</v>
      </c>
    </row>
    <row r="65" spans="1:4" x14ac:dyDescent="0.25">
      <c r="A65" s="1">
        <v>63</v>
      </c>
      <c r="B65" s="1">
        <v>729</v>
      </c>
      <c r="C65" s="30">
        <f t="shared" si="4"/>
        <v>-18.779999999999973</v>
      </c>
      <c r="D65" s="29">
        <f t="shared" si="1"/>
        <v>352.68839999999898</v>
      </c>
    </row>
    <row r="66" spans="1:4" x14ac:dyDescent="0.25">
      <c r="A66" s="1">
        <v>64</v>
      </c>
      <c r="B66" s="1">
        <v>687</v>
      </c>
      <c r="C66" s="30">
        <f t="shared" si="4"/>
        <v>-60.779999999999973</v>
      </c>
      <c r="D66" s="29">
        <f t="shared" si="1"/>
        <v>3694.2083999999968</v>
      </c>
    </row>
    <row r="67" spans="1:4" x14ac:dyDescent="0.25">
      <c r="A67" s="1">
        <v>65</v>
      </c>
      <c r="B67" s="1">
        <v>710</v>
      </c>
      <c r="C67" s="30">
        <f t="shared" ref="C67:C98" si="5">B67-$G$22</f>
        <v>-37.779999999999973</v>
      </c>
      <c r="D67" s="29">
        <f t="shared" si="1"/>
        <v>1427.3283999999978</v>
      </c>
    </row>
    <row r="68" spans="1:4" x14ac:dyDescent="0.25">
      <c r="A68" s="1">
        <v>66</v>
      </c>
      <c r="B68" s="1">
        <v>750</v>
      </c>
      <c r="C68" s="30">
        <f t="shared" si="5"/>
        <v>2.2200000000000273</v>
      </c>
      <c r="D68" s="29">
        <f t="shared" ref="D68:D102" si="6">C68^2</f>
        <v>4.9284000000001216</v>
      </c>
    </row>
    <row r="69" spans="1:4" x14ac:dyDescent="0.25">
      <c r="A69" s="1">
        <v>67</v>
      </c>
      <c r="B69" s="1">
        <v>754</v>
      </c>
      <c r="C69" s="30">
        <f t="shared" si="5"/>
        <v>6.2200000000000273</v>
      </c>
      <c r="D69" s="29">
        <f t="shared" si="6"/>
        <v>38.688400000000343</v>
      </c>
    </row>
    <row r="70" spans="1:4" x14ac:dyDescent="0.25">
      <c r="A70" s="1">
        <v>68</v>
      </c>
      <c r="B70" s="1">
        <v>708</v>
      </c>
      <c r="C70" s="30">
        <f t="shared" si="5"/>
        <v>-39.779999999999973</v>
      </c>
      <c r="D70" s="29">
        <f t="shared" si="6"/>
        <v>1582.4483999999977</v>
      </c>
    </row>
    <row r="71" spans="1:4" x14ac:dyDescent="0.25">
      <c r="A71" s="1">
        <v>69</v>
      </c>
      <c r="B71" s="1">
        <v>722</v>
      </c>
      <c r="C71" s="30">
        <f t="shared" si="5"/>
        <v>-25.779999999999973</v>
      </c>
      <c r="D71" s="29">
        <f t="shared" si="6"/>
        <v>664.6083999999986</v>
      </c>
    </row>
    <row r="72" spans="1:4" x14ac:dyDescent="0.25">
      <c r="A72" s="1">
        <v>70</v>
      </c>
      <c r="B72" s="1">
        <v>693</v>
      </c>
      <c r="C72" s="30">
        <f t="shared" si="5"/>
        <v>-54.779999999999973</v>
      </c>
      <c r="D72" s="29">
        <f t="shared" si="6"/>
        <v>3000.8483999999971</v>
      </c>
    </row>
    <row r="73" spans="1:4" x14ac:dyDescent="0.25">
      <c r="A73" s="1">
        <v>71</v>
      </c>
      <c r="B73" s="1">
        <v>720</v>
      </c>
      <c r="C73" s="30">
        <f t="shared" si="5"/>
        <v>-27.779999999999973</v>
      </c>
      <c r="D73" s="29">
        <f t="shared" si="6"/>
        <v>771.72839999999849</v>
      </c>
    </row>
    <row r="74" spans="1:4" x14ac:dyDescent="0.25">
      <c r="A74" s="1">
        <v>72</v>
      </c>
      <c r="B74" s="1">
        <v>700</v>
      </c>
      <c r="C74" s="30">
        <f t="shared" si="5"/>
        <v>-47.779999999999973</v>
      </c>
      <c r="D74" s="29">
        <f t="shared" si="6"/>
        <v>2282.9283999999975</v>
      </c>
    </row>
    <row r="75" spans="1:4" x14ac:dyDescent="0.25">
      <c r="A75" s="1">
        <v>73</v>
      </c>
      <c r="B75" s="1">
        <v>736</v>
      </c>
      <c r="C75" s="30">
        <f t="shared" si="5"/>
        <v>-11.779999999999973</v>
      </c>
      <c r="D75" s="29">
        <f t="shared" si="6"/>
        <v>138.76839999999936</v>
      </c>
    </row>
    <row r="76" spans="1:4" x14ac:dyDescent="0.25">
      <c r="A76" s="1">
        <v>74</v>
      </c>
      <c r="B76" s="1">
        <v>685</v>
      </c>
      <c r="C76" s="30">
        <f t="shared" si="5"/>
        <v>-62.779999999999973</v>
      </c>
      <c r="D76" s="29">
        <f t="shared" si="6"/>
        <v>3941.3283999999967</v>
      </c>
    </row>
    <row r="77" spans="1:4" x14ac:dyDescent="0.25">
      <c r="A77" s="1">
        <v>75</v>
      </c>
      <c r="B77" s="1">
        <v>739</v>
      </c>
      <c r="C77" s="30">
        <f t="shared" si="5"/>
        <v>-8.7799999999999727</v>
      </c>
      <c r="D77" s="29">
        <f t="shared" si="6"/>
        <v>77.088399999999524</v>
      </c>
    </row>
    <row r="78" spans="1:4" x14ac:dyDescent="0.25">
      <c r="A78" s="1">
        <v>76</v>
      </c>
      <c r="B78" s="1">
        <v>699</v>
      </c>
      <c r="C78" s="30">
        <f t="shared" si="5"/>
        <v>-48.779999999999973</v>
      </c>
      <c r="D78" s="29">
        <f t="shared" si="6"/>
        <v>2379.4883999999975</v>
      </c>
    </row>
    <row r="79" spans="1:4" x14ac:dyDescent="0.25">
      <c r="A79" s="1">
        <v>77</v>
      </c>
      <c r="B79" s="1">
        <v>705</v>
      </c>
      <c r="C79" s="30">
        <f t="shared" si="5"/>
        <v>-42.779999999999973</v>
      </c>
      <c r="D79" s="29">
        <f t="shared" si="6"/>
        <v>1830.1283999999976</v>
      </c>
    </row>
    <row r="80" spans="1:4" x14ac:dyDescent="0.25">
      <c r="A80" s="1">
        <v>78</v>
      </c>
      <c r="B80" s="1">
        <v>688</v>
      </c>
      <c r="C80" s="30">
        <f t="shared" si="5"/>
        <v>-59.779999999999973</v>
      </c>
      <c r="D80" s="29">
        <f t="shared" si="6"/>
        <v>3573.6483999999969</v>
      </c>
    </row>
    <row r="81" spans="1:4" x14ac:dyDescent="0.25">
      <c r="A81" s="1">
        <v>79</v>
      </c>
      <c r="B81" s="1">
        <v>716</v>
      </c>
      <c r="C81" s="30">
        <f t="shared" si="5"/>
        <v>-31.779999999999973</v>
      </c>
      <c r="D81" s="29">
        <f t="shared" si="6"/>
        <v>1009.9683999999983</v>
      </c>
    </row>
    <row r="82" spans="1:4" x14ac:dyDescent="0.25">
      <c r="A82" s="1">
        <v>80</v>
      </c>
      <c r="B82" s="1">
        <v>744</v>
      </c>
      <c r="C82" s="30">
        <f t="shared" si="5"/>
        <v>-3.7799999999999727</v>
      </c>
      <c r="D82" s="29">
        <f t="shared" si="6"/>
        <v>14.288399999999793</v>
      </c>
    </row>
    <row r="83" spans="1:4" x14ac:dyDescent="0.25">
      <c r="A83" s="1">
        <v>81</v>
      </c>
      <c r="B83" s="1">
        <v>728</v>
      </c>
      <c r="C83" s="30">
        <f t="shared" si="5"/>
        <v>-19.779999999999973</v>
      </c>
      <c r="D83" s="29">
        <f t="shared" si="6"/>
        <v>391.24839999999892</v>
      </c>
    </row>
    <row r="84" spans="1:4" x14ac:dyDescent="0.25">
      <c r="A84" s="1">
        <v>82</v>
      </c>
      <c r="B84" s="1">
        <v>777</v>
      </c>
      <c r="C84" s="30">
        <f t="shared" si="5"/>
        <v>29.220000000000027</v>
      </c>
      <c r="D84" s="29">
        <f t="shared" si="6"/>
        <v>853.8084000000016</v>
      </c>
    </row>
    <row r="85" spans="1:4" x14ac:dyDescent="0.25">
      <c r="A85" s="1">
        <v>83</v>
      </c>
      <c r="B85" s="1">
        <v>664</v>
      </c>
      <c r="C85" s="30">
        <f t="shared" si="5"/>
        <v>-83.779999999999973</v>
      </c>
      <c r="D85" s="29">
        <f t="shared" si="6"/>
        <v>7019.0883999999951</v>
      </c>
    </row>
    <row r="86" spans="1:4" x14ac:dyDescent="0.25">
      <c r="A86" s="1">
        <v>84</v>
      </c>
      <c r="B86" s="1">
        <v>705</v>
      </c>
      <c r="C86" s="30">
        <f t="shared" si="5"/>
        <v>-42.779999999999973</v>
      </c>
      <c r="D86" s="29">
        <f t="shared" si="6"/>
        <v>1830.1283999999976</v>
      </c>
    </row>
    <row r="87" spans="1:4" x14ac:dyDescent="0.25">
      <c r="A87" s="1">
        <v>85</v>
      </c>
      <c r="B87" s="1">
        <v>688</v>
      </c>
      <c r="C87" s="30">
        <f t="shared" si="5"/>
        <v>-59.779999999999973</v>
      </c>
      <c r="D87" s="29">
        <f t="shared" si="6"/>
        <v>3573.6483999999969</v>
      </c>
    </row>
    <row r="88" spans="1:4" x14ac:dyDescent="0.25">
      <c r="A88" s="1">
        <v>86</v>
      </c>
      <c r="B88" s="1">
        <v>714</v>
      </c>
      <c r="C88" s="30">
        <f t="shared" si="5"/>
        <v>-33.779999999999973</v>
      </c>
      <c r="D88" s="29">
        <f t="shared" si="6"/>
        <v>1141.088399999998</v>
      </c>
    </row>
    <row r="89" spans="1:4" x14ac:dyDescent="0.25">
      <c r="A89" s="1">
        <v>87</v>
      </c>
      <c r="B89" s="1">
        <v>729</v>
      </c>
      <c r="C89" s="30">
        <f t="shared" si="5"/>
        <v>-18.779999999999973</v>
      </c>
      <c r="D89" s="29">
        <f t="shared" si="6"/>
        <v>352.68839999999898</v>
      </c>
    </row>
    <row r="90" spans="1:4" x14ac:dyDescent="0.25">
      <c r="A90" s="1">
        <v>88</v>
      </c>
      <c r="B90" s="1">
        <v>710</v>
      </c>
      <c r="C90" s="30">
        <f t="shared" si="5"/>
        <v>-37.779999999999973</v>
      </c>
      <c r="D90" s="29">
        <f t="shared" si="6"/>
        <v>1427.3283999999978</v>
      </c>
    </row>
    <row r="91" spans="1:4" x14ac:dyDescent="0.25">
      <c r="A91" s="1">
        <v>89</v>
      </c>
      <c r="B91" s="1">
        <v>735</v>
      </c>
      <c r="C91" s="30">
        <f t="shared" si="5"/>
        <v>-12.779999999999973</v>
      </c>
      <c r="D91" s="29">
        <f t="shared" si="6"/>
        <v>163.32839999999931</v>
      </c>
    </row>
    <row r="92" spans="1:4" x14ac:dyDescent="0.25">
      <c r="A92" s="1">
        <v>90</v>
      </c>
      <c r="B92" s="1">
        <v>715</v>
      </c>
      <c r="C92" s="30">
        <f t="shared" si="5"/>
        <v>-32.779999999999973</v>
      </c>
      <c r="D92" s="29">
        <f t="shared" si="6"/>
        <v>1074.5283999999981</v>
      </c>
    </row>
    <row r="93" spans="1:4" x14ac:dyDescent="0.25">
      <c r="A93" s="1">
        <v>91</v>
      </c>
      <c r="B93" s="1">
        <v>671</v>
      </c>
      <c r="C93" s="30">
        <f t="shared" si="5"/>
        <v>-76.779999999999973</v>
      </c>
      <c r="D93" s="29">
        <f t="shared" si="6"/>
        <v>5895.1683999999959</v>
      </c>
    </row>
    <row r="94" spans="1:4" x14ac:dyDescent="0.25">
      <c r="A94" s="1">
        <v>92</v>
      </c>
      <c r="B94" s="1">
        <v>711</v>
      </c>
      <c r="C94" s="30">
        <f t="shared" si="5"/>
        <v>-36.779999999999973</v>
      </c>
      <c r="D94" s="29">
        <f t="shared" si="6"/>
        <v>1352.7683999999979</v>
      </c>
    </row>
    <row r="95" spans="1:4" x14ac:dyDescent="0.25">
      <c r="A95" s="1">
        <v>93</v>
      </c>
      <c r="B95" s="1">
        <v>728</v>
      </c>
      <c r="C95" s="30">
        <f t="shared" si="5"/>
        <v>-19.779999999999973</v>
      </c>
      <c r="D95" s="29">
        <f t="shared" si="6"/>
        <v>391.24839999999892</v>
      </c>
    </row>
    <row r="96" spans="1:4" x14ac:dyDescent="0.25">
      <c r="A96" s="1">
        <v>94</v>
      </c>
      <c r="B96" s="1">
        <v>685</v>
      </c>
      <c r="C96" s="30">
        <f t="shared" si="5"/>
        <v>-62.779999999999973</v>
      </c>
      <c r="D96" s="29">
        <f t="shared" si="6"/>
        <v>3941.3283999999967</v>
      </c>
    </row>
    <row r="97" spans="1:4" x14ac:dyDescent="0.25">
      <c r="A97" s="1">
        <v>95</v>
      </c>
      <c r="B97" s="1">
        <v>740</v>
      </c>
      <c r="C97" s="30">
        <f t="shared" si="5"/>
        <v>-7.7799999999999727</v>
      </c>
      <c r="D97" s="29">
        <f t="shared" si="6"/>
        <v>60.528399999999579</v>
      </c>
    </row>
    <row r="98" spans="1:4" x14ac:dyDescent="0.25">
      <c r="A98" s="1">
        <v>96</v>
      </c>
      <c r="B98" s="1">
        <v>749</v>
      </c>
      <c r="C98" s="30">
        <f t="shared" si="5"/>
        <v>1.2200000000000273</v>
      </c>
      <c r="D98" s="29">
        <f t="shared" si="6"/>
        <v>1.4884000000000666</v>
      </c>
    </row>
    <row r="99" spans="1:4" x14ac:dyDescent="0.25">
      <c r="A99" s="1">
        <v>97</v>
      </c>
      <c r="B99" s="1">
        <v>690</v>
      </c>
      <c r="C99" s="30">
        <f t="shared" ref="C99:C102" si="7">B99-$G$22</f>
        <v>-57.779999999999973</v>
      </c>
      <c r="D99" s="29">
        <f t="shared" si="6"/>
        <v>3338.528399999997</v>
      </c>
    </row>
    <row r="100" spans="1:4" x14ac:dyDescent="0.25">
      <c r="A100" s="1">
        <v>98</v>
      </c>
      <c r="B100" s="1">
        <v>709</v>
      </c>
      <c r="C100" s="30">
        <f t="shared" si="7"/>
        <v>-38.779999999999973</v>
      </c>
      <c r="D100" s="29">
        <f t="shared" si="6"/>
        <v>1503.8883999999978</v>
      </c>
    </row>
    <row r="101" spans="1:4" x14ac:dyDescent="0.25">
      <c r="A101" s="1">
        <v>99</v>
      </c>
      <c r="B101" s="1">
        <v>706</v>
      </c>
      <c r="C101" s="30">
        <f t="shared" si="7"/>
        <v>-41.779999999999973</v>
      </c>
      <c r="D101" s="29">
        <f t="shared" si="6"/>
        <v>1745.5683999999976</v>
      </c>
    </row>
    <row r="102" spans="1:4" x14ac:dyDescent="0.25">
      <c r="A102" s="1">
        <v>100</v>
      </c>
      <c r="B102" s="1">
        <v>691</v>
      </c>
      <c r="C102" s="30">
        <f t="shared" si="7"/>
        <v>-56.779999999999973</v>
      </c>
      <c r="D102" s="29">
        <f t="shared" si="6"/>
        <v>3223.968399999997</v>
      </c>
    </row>
  </sheetData>
  <sortState xmlns:xlrd2="http://schemas.microsoft.com/office/spreadsheetml/2017/richdata2" ref="V24:V33">
    <sortCondition ref="V39"/>
  </sortState>
  <mergeCells count="1">
    <mergeCell ref="G28:H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1506-BB18-4C58-A318-DBEB3266D90B}">
  <dimension ref="A1:AK109"/>
  <sheetViews>
    <sheetView zoomScaleNormal="100" workbookViewId="0">
      <selection activeCell="AL9" sqref="AL9"/>
    </sheetView>
  </sheetViews>
  <sheetFormatPr defaultRowHeight="15" x14ac:dyDescent="0.25"/>
  <cols>
    <col min="1" max="1" width="4" customWidth="1"/>
    <col min="2" max="2" width="9.140625" style="1"/>
    <col min="3" max="3" width="22.42578125" customWidth="1"/>
    <col min="5" max="5" width="4.85546875" style="48" customWidth="1"/>
    <col min="12" max="12" width="5.42578125" customWidth="1"/>
    <col min="14" max="28" width="8" customWidth="1"/>
  </cols>
  <sheetData>
    <row r="1" spans="1:37" x14ac:dyDescent="0.25">
      <c r="B1" s="91" t="s">
        <v>78</v>
      </c>
      <c r="C1" s="105" t="s">
        <v>76</v>
      </c>
      <c r="F1" s="91" t="s">
        <v>77</v>
      </c>
      <c r="G1" s="104" t="s">
        <v>76</v>
      </c>
      <c r="H1" s="103"/>
      <c r="I1" s="103"/>
      <c r="J1" s="98">
        <v>10</v>
      </c>
      <c r="L1" s="102" t="s">
        <v>77</v>
      </c>
      <c r="M1" s="101"/>
      <c r="N1" s="100" t="s">
        <v>76</v>
      </c>
      <c r="O1" s="99"/>
      <c r="P1" s="99"/>
      <c r="Q1" s="99"/>
      <c r="R1" s="98">
        <v>10</v>
      </c>
      <c r="AB1" t="s">
        <v>75</v>
      </c>
      <c r="AC1" s="29">
        <f>AVERAGE(B2:B45)/6</f>
        <v>12.602272727272727</v>
      </c>
    </row>
    <row r="2" spans="1:37" x14ac:dyDescent="0.25">
      <c r="A2" s="48">
        <v>1</v>
      </c>
      <c r="B2" s="85">
        <v>79</v>
      </c>
      <c r="C2" s="97">
        <v>60</v>
      </c>
      <c r="L2" s="96"/>
      <c r="M2" s="95"/>
      <c r="N2" s="94" t="s">
        <v>74</v>
      </c>
      <c r="O2" s="93"/>
      <c r="P2" s="93"/>
      <c r="Q2" s="93"/>
      <c r="R2" s="93"/>
      <c r="AC2" s="1" t="s">
        <v>73</v>
      </c>
      <c r="AD2" s="1" t="s">
        <v>72</v>
      </c>
    </row>
    <row r="3" spans="1:37" x14ac:dyDescent="0.25">
      <c r="A3" s="48">
        <v>2</v>
      </c>
      <c r="B3" s="50">
        <v>91</v>
      </c>
      <c r="F3" s="92" t="s">
        <v>71</v>
      </c>
      <c r="G3" s="92"/>
      <c r="H3" s="92"/>
      <c r="I3" s="92"/>
      <c r="J3" s="92"/>
      <c r="M3">
        <v>0</v>
      </c>
      <c r="AB3" t="s">
        <v>63</v>
      </c>
      <c r="AC3" s="59">
        <f>AVERAGE(F5:F104)-$AC$1</f>
        <v>4132.2677272727269</v>
      </c>
      <c r="AD3" s="35">
        <f>LN(AC3)</f>
        <v>8.3265816217689554</v>
      </c>
    </row>
    <row r="4" spans="1:37" ht="15" customHeight="1" x14ac:dyDescent="0.25">
      <c r="A4" s="48">
        <v>3</v>
      </c>
      <c r="B4" s="50">
        <v>64</v>
      </c>
      <c r="F4" s="91">
        <v>5</v>
      </c>
      <c r="G4" s="91">
        <v>10</v>
      </c>
      <c r="H4" s="91">
        <v>15</v>
      </c>
      <c r="I4" s="91">
        <v>20</v>
      </c>
      <c r="J4" s="91">
        <v>30</v>
      </c>
      <c r="K4" s="90"/>
      <c r="L4" s="89" t="s">
        <v>70</v>
      </c>
      <c r="M4" s="63">
        <v>0.01</v>
      </c>
      <c r="N4" s="88">
        <v>1959</v>
      </c>
      <c r="O4" s="87">
        <v>1966</v>
      </c>
      <c r="P4" s="87">
        <v>2006</v>
      </c>
      <c r="Q4" s="87">
        <v>1953</v>
      </c>
      <c r="R4" s="87">
        <v>2067</v>
      </c>
      <c r="S4" s="87">
        <v>2030</v>
      </c>
      <c r="T4" s="87">
        <v>1892</v>
      </c>
      <c r="U4" s="87">
        <v>2031</v>
      </c>
      <c r="V4" s="87">
        <v>1907</v>
      </c>
      <c r="W4" s="87">
        <v>2009</v>
      </c>
      <c r="X4" s="87">
        <v>1947</v>
      </c>
      <c r="Y4" s="87">
        <v>1959</v>
      </c>
      <c r="Z4" s="87">
        <v>2020</v>
      </c>
      <c r="AA4" s="87">
        <v>2005</v>
      </c>
      <c r="AB4" s="86">
        <v>1965</v>
      </c>
      <c r="AC4" s="36">
        <f>AVERAGE(N4:AB4)-$AC$1</f>
        <v>1968.4643939393939</v>
      </c>
      <c r="AD4" s="35">
        <f>LN(AC4)</f>
        <v>7.5850090223052398</v>
      </c>
    </row>
    <row r="5" spans="1:37" x14ac:dyDescent="0.25">
      <c r="A5" s="48">
        <v>4</v>
      </c>
      <c r="B5" s="50">
        <v>78</v>
      </c>
      <c r="E5" s="48">
        <v>1</v>
      </c>
      <c r="F5" s="85">
        <v>4166</v>
      </c>
      <c r="G5" s="85">
        <v>1235</v>
      </c>
      <c r="H5" s="85">
        <v>493</v>
      </c>
      <c r="I5" s="85">
        <v>241</v>
      </c>
      <c r="J5" s="85">
        <v>100</v>
      </c>
      <c r="K5" s="1"/>
      <c r="L5" s="84"/>
      <c r="M5" s="62">
        <v>2.5000000000000001E-2</v>
      </c>
      <c r="N5" s="83">
        <v>1054</v>
      </c>
      <c r="O5" s="28">
        <v>1090</v>
      </c>
      <c r="P5" s="28">
        <v>1059</v>
      </c>
      <c r="Q5" s="28">
        <v>1111</v>
      </c>
      <c r="R5" s="28">
        <v>1095</v>
      </c>
      <c r="S5" s="28">
        <v>1034</v>
      </c>
      <c r="T5" s="28">
        <v>1048</v>
      </c>
      <c r="U5" s="28">
        <v>1033</v>
      </c>
      <c r="V5" s="28">
        <v>1071</v>
      </c>
      <c r="W5" s="28">
        <v>1063</v>
      </c>
      <c r="X5" s="28">
        <v>1027</v>
      </c>
      <c r="Y5" s="28">
        <v>1147</v>
      </c>
      <c r="Z5" s="28">
        <v>1096</v>
      </c>
      <c r="AA5" s="28">
        <v>1116</v>
      </c>
      <c r="AB5" s="82">
        <v>1043</v>
      </c>
      <c r="AC5" s="36">
        <f>AVERAGE(N5:AB5)-$AC$1</f>
        <v>1059.8643939393939</v>
      </c>
      <c r="AD5" s="35">
        <f>LN(AC5)</f>
        <v>6.9658962486764864</v>
      </c>
    </row>
    <row r="6" spans="1:37" x14ac:dyDescent="0.25">
      <c r="A6" s="48">
        <v>5</v>
      </c>
      <c r="B6" s="50">
        <v>68</v>
      </c>
      <c r="E6" s="48">
        <v>2</v>
      </c>
      <c r="F6" s="50">
        <v>4173</v>
      </c>
      <c r="G6" s="50">
        <v>1188</v>
      </c>
      <c r="H6" s="50">
        <v>490</v>
      </c>
      <c r="I6" s="50">
        <v>273</v>
      </c>
      <c r="J6" s="50">
        <v>90</v>
      </c>
      <c r="L6" s="84"/>
      <c r="M6" s="62">
        <v>0.04</v>
      </c>
      <c r="N6" s="83">
        <v>693</v>
      </c>
      <c r="O6" s="28">
        <v>681</v>
      </c>
      <c r="P6" s="28">
        <v>705</v>
      </c>
      <c r="Q6" s="28">
        <v>705</v>
      </c>
      <c r="R6" s="28">
        <v>775</v>
      </c>
      <c r="S6" s="28">
        <v>711</v>
      </c>
      <c r="T6" s="28">
        <v>717</v>
      </c>
      <c r="U6" s="28">
        <v>682</v>
      </c>
      <c r="V6" s="28">
        <v>708</v>
      </c>
      <c r="W6" s="28">
        <v>660</v>
      </c>
      <c r="X6" s="28">
        <v>692</v>
      </c>
      <c r="Y6" s="28">
        <v>734</v>
      </c>
      <c r="Z6" s="28">
        <v>714</v>
      </c>
      <c r="AA6" s="28">
        <v>686</v>
      </c>
      <c r="AB6" s="82">
        <v>694</v>
      </c>
      <c r="AC6" s="36">
        <f>AVERAGE(N6:AB6)-$AC$1</f>
        <v>691.19772727272721</v>
      </c>
      <c r="AD6" s="35">
        <f>LN(AC6)</f>
        <v>6.5384259293952143</v>
      </c>
    </row>
    <row r="7" spans="1:37" x14ac:dyDescent="0.25">
      <c r="A7" s="48">
        <v>6</v>
      </c>
      <c r="B7" s="50">
        <v>66</v>
      </c>
      <c r="E7" s="48">
        <v>3</v>
      </c>
      <c r="F7" s="50">
        <v>4125</v>
      </c>
      <c r="G7" s="50">
        <v>1294</v>
      </c>
      <c r="H7" s="50">
        <v>523</v>
      </c>
      <c r="I7" s="50">
        <v>247</v>
      </c>
      <c r="J7" s="50">
        <v>113</v>
      </c>
      <c r="L7" s="84"/>
      <c r="M7" s="62">
        <v>5.5E-2</v>
      </c>
      <c r="N7" s="83">
        <v>480</v>
      </c>
      <c r="O7" s="28">
        <v>440</v>
      </c>
      <c r="P7" s="28">
        <v>468</v>
      </c>
      <c r="Q7" s="28">
        <v>458</v>
      </c>
      <c r="R7" s="28">
        <v>530</v>
      </c>
      <c r="S7" s="28">
        <v>479</v>
      </c>
      <c r="T7" s="28">
        <v>481</v>
      </c>
      <c r="U7" s="28">
        <v>502</v>
      </c>
      <c r="V7" s="28">
        <v>503</v>
      </c>
      <c r="W7" s="28">
        <v>444</v>
      </c>
      <c r="X7" s="28">
        <v>461</v>
      </c>
      <c r="Y7" s="28">
        <v>513</v>
      </c>
      <c r="Z7" s="28">
        <v>499</v>
      </c>
      <c r="AA7" s="28">
        <v>444</v>
      </c>
      <c r="AB7" s="82">
        <v>470</v>
      </c>
      <c r="AC7" s="36">
        <f>AVERAGE(N7:AB7)-$AC$1</f>
        <v>465.53106060606058</v>
      </c>
      <c r="AD7" s="35">
        <f>LN(AC7)</f>
        <v>6.1431788197457857</v>
      </c>
    </row>
    <row r="8" spans="1:37" x14ac:dyDescent="0.25">
      <c r="A8" s="48">
        <v>7</v>
      </c>
      <c r="B8" s="50">
        <v>76</v>
      </c>
      <c r="E8" s="48">
        <v>4</v>
      </c>
      <c r="F8" s="50">
        <v>4307</v>
      </c>
      <c r="G8" s="50">
        <v>1284</v>
      </c>
      <c r="H8" s="50">
        <v>485</v>
      </c>
      <c r="I8" s="50">
        <v>273</v>
      </c>
      <c r="J8" s="50">
        <v>96</v>
      </c>
      <c r="L8" s="84"/>
      <c r="M8" s="62">
        <v>0.1</v>
      </c>
      <c r="N8" s="83">
        <v>223</v>
      </c>
      <c r="O8" s="28">
        <v>234</v>
      </c>
      <c r="P8" s="28">
        <v>247</v>
      </c>
      <c r="Q8" s="28">
        <v>216</v>
      </c>
      <c r="R8" s="28">
        <v>216</v>
      </c>
      <c r="S8" s="28">
        <v>231</v>
      </c>
      <c r="T8" s="28">
        <v>209</v>
      </c>
      <c r="U8" s="28">
        <v>241</v>
      </c>
      <c r="V8" s="28">
        <v>228</v>
      </c>
      <c r="W8" s="28">
        <v>211</v>
      </c>
      <c r="X8" s="28">
        <v>225</v>
      </c>
      <c r="Y8" s="28">
        <v>224</v>
      </c>
      <c r="Z8" s="28">
        <v>236</v>
      </c>
      <c r="AA8" s="28">
        <v>225</v>
      </c>
      <c r="AB8" s="82">
        <v>224</v>
      </c>
      <c r="AC8" s="36">
        <f>AVERAGE(N8:AB8)-$AC$1</f>
        <v>213.39772727272728</v>
      </c>
      <c r="AD8" s="35">
        <f>LN(AC8)</f>
        <v>5.3631576887300003</v>
      </c>
    </row>
    <row r="9" spans="1:37" x14ac:dyDescent="0.25">
      <c r="A9" s="48">
        <v>8</v>
      </c>
      <c r="B9" s="50">
        <v>66</v>
      </c>
      <c r="E9" s="48">
        <v>5</v>
      </c>
      <c r="F9" s="50">
        <v>4215</v>
      </c>
      <c r="G9" s="50">
        <v>1233</v>
      </c>
      <c r="H9" s="50">
        <v>540</v>
      </c>
      <c r="I9" s="50">
        <v>274</v>
      </c>
      <c r="J9" s="50">
        <v>120</v>
      </c>
      <c r="L9" s="84"/>
      <c r="M9" s="62">
        <v>0.16</v>
      </c>
      <c r="N9" s="83">
        <v>107</v>
      </c>
      <c r="O9" s="28">
        <v>142</v>
      </c>
      <c r="P9" s="28">
        <v>125</v>
      </c>
      <c r="Q9" s="28">
        <v>125</v>
      </c>
      <c r="R9" s="28">
        <v>111</v>
      </c>
      <c r="S9" s="28">
        <v>125</v>
      </c>
      <c r="T9" s="28">
        <v>128</v>
      </c>
      <c r="U9" s="28">
        <v>120</v>
      </c>
      <c r="V9" s="28">
        <v>126</v>
      </c>
      <c r="W9" s="28">
        <v>96</v>
      </c>
      <c r="X9" s="28">
        <v>120</v>
      </c>
      <c r="Y9" s="28">
        <v>108</v>
      </c>
      <c r="Z9" s="28">
        <v>106</v>
      </c>
      <c r="AA9" s="28">
        <v>117</v>
      </c>
      <c r="AB9" s="82">
        <v>115</v>
      </c>
      <c r="AC9" s="36">
        <f>AVERAGE(N9:AB9)-$AC$1</f>
        <v>105.46439393939394</v>
      </c>
      <c r="AD9" s="35">
        <f>LN(AC9)</f>
        <v>4.6583733977459882</v>
      </c>
    </row>
    <row r="10" spans="1:37" x14ac:dyDescent="0.25">
      <c r="A10" s="48">
        <v>9</v>
      </c>
      <c r="B10" s="50">
        <v>74</v>
      </c>
      <c r="E10" s="48">
        <v>6</v>
      </c>
      <c r="F10" s="50">
        <v>4150</v>
      </c>
      <c r="G10" s="50">
        <v>1262</v>
      </c>
      <c r="H10" s="50">
        <v>509</v>
      </c>
      <c r="I10" s="50">
        <v>263</v>
      </c>
      <c r="J10" s="50">
        <v>117</v>
      </c>
      <c r="L10" s="84"/>
      <c r="M10" s="62">
        <v>0.2</v>
      </c>
      <c r="N10" s="83">
        <v>68</v>
      </c>
      <c r="O10" s="28">
        <v>91</v>
      </c>
      <c r="P10" s="28">
        <v>101</v>
      </c>
      <c r="Q10" s="28">
        <v>90</v>
      </c>
      <c r="R10" s="28">
        <v>79</v>
      </c>
      <c r="S10" s="28">
        <v>86</v>
      </c>
      <c r="T10" s="28">
        <v>72</v>
      </c>
      <c r="U10" s="28">
        <v>81</v>
      </c>
      <c r="V10" s="28">
        <v>83</v>
      </c>
      <c r="W10" s="28">
        <v>93</v>
      </c>
      <c r="X10" s="28">
        <v>79</v>
      </c>
      <c r="Y10" s="28">
        <v>87</v>
      </c>
      <c r="Z10" s="28">
        <v>89</v>
      </c>
      <c r="AA10" s="28">
        <v>70</v>
      </c>
      <c r="AB10" s="82">
        <v>79</v>
      </c>
      <c r="AC10" s="36">
        <f>AVERAGE(N10:AB10)-$AC$1</f>
        <v>70.597727272727269</v>
      </c>
      <c r="AD10" s="35">
        <f>LN(AC10)</f>
        <v>4.2569979523766062</v>
      </c>
    </row>
    <row r="11" spans="1:37" x14ac:dyDescent="0.25">
      <c r="A11" s="48">
        <v>10</v>
      </c>
      <c r="B11" s="50">
        <v>69</v>
      </c>
      <c r="E11" s="48">
        <v>7</v>
      </c>
      <c r="F11" s="50">
        <v>4115</v>
      </c>
      <c r="G11" s="50">
        <v>1198</v>
      </c>
      <c r="H11" s="50">
        <v>520</v>
      </c>
      <c r="I11" s="50">
        <v>242</v>
      </c>
      <c r="J11" s="50">
        <v>92</v>
      </c>
      <c r="L11" s="84"/>
      <c r="M11" s="62">
        <v>0.26</v>
      </c>
      <c r="N11" s="83">
        <v>89</v>
      </c>
      <c r="O11" s="28">
        <v>72</v>
      </c>
      <c r="P11" s="28">
        <v>71</v>
      </c>
      <c r="Q11" s="28">
        <v>63</v>
      </c>
      <c r="R11" s="28">
        <v>55</v>
      </c>
      <c r="S11" s="28">
        <v>54</v>
      </c>
      <c r="T11" s="28">
        <v>66</v>
      </c>
      <c r="U11" s="28">
        <v>80</v>
      </c>
      <c r="V11" s="28">
        <v>72</v>
      </c>
      <c r="W11" s="28">
        <v>69</v>
      </c>
      <c r="X11" s="28">
        <v>64</v>
      </c>
      <c r="Y11" s="28">
        <v>68</v>
      </c>
      <c r="Z11" s="28">
        <v>48</v>
      </c>
      <c r="AA11" s="28">
        <v>65</v>
      </c>
      <c r="AB11" s="82">
        <v>56</v>
      </c>
      <c r="AC11" s="36">
        <f>AVERAGE(N11:AB11)-$AC$1</f>
        <v>53.531060606060613</v>
      </c>
      <c r="AD11" s="35">
        <f>LN(AC11)</f>
        <v>3.9802620575110943</v>
      </c>
    </row>
    <row r="12" spans="1:37" x14ac:dyDescent="0.25">
      <c r="A12" s="48">
        <v>11</v>
      </c>
      <c r="B12" s="50">
        <v>84</v>
      </c>
      <c r="E12" s="48">
        <v>8</v>
      </c>
      <c r="F12" s="50">
        <v>4151</v>
      </c>
      <c r="G12" s="50">
        <v>1232</v>
      </c>
      <c r="H12" s="50">
        <v>553</v>
      </c>
      <c r="I12" s="50">
        <v>256</v>
      </c>
      <c r="J12" s="50">
        <v>112</v>
      </c>
      <c r="L12" s="81"/>
      <c r="M12" s="60" t="s">
        <v>69</v>
      </c>
      <c r="N12" s="80">
        <v>59</v>
      </c>
      <c r="O12" s="79">
        <v>54</v>
      </c>
      <c r="P12" s="79">
        <v>46</v>
      </c>
      <c r="Q12" s="79">
        <v>62</v>
      </c>
      <c r="R12" s="79">
        <v>67</v>
      </c>
      <c r="S12" s="79">
        <v>67</v>
      </c>
      <c r="T12" s="79">
        <v>46</v>
      </c>
      <c r="U12" s="79">
        <v>51</v>
      </c>
      <c r="V12" s="79">
        <v>56</v>
      </c>
      <c r="W12" s="79">
        <v>49</v>
      </c>
      <c r="X12" s="79">
        <v>40</v>
      </c>
      <c r="Y12" s="79">
        <v>55</v>
      </c>
      <c r="Z12" s="79">
        <v>54</v>
      </c>
      <c r="AA12" s="79">
        <v>56</v>
      </c>
      <c r="AB12" s="78">
        <v>70</v>
      </c>
      <c r="AC12" s="36">
        <f>AVERAGE(N12:AB12)-$AC$1</f>
        <v>42.864393939393942</v>
      </c>
      <c r="AD12" s="35">
        <f>LN(AC12)</f>
        <v>3.7580415032087413</v>
      </c>
    </row>
    <row r="13" spans="1:37" ht="15.75" thickBot="1" x14ac:dyDescent="0.3">
      <c r="A13" s="48">
        <v>12</v>
      </c>
      <c r="B13" s="50">
        <v>68</v>
      </c>
      <c r="E13" s="48">
        <v>9</v>
      </c>
      <c r="F13" s="50">
        <v>4092</v>
      </c>
      <c r="G13" s="50">
        <v>1269</v>
      </c>
      <c r="H13" s="50">
        <v>547</v>
      </c>
      <c r="I13" s="50">
        <v>250</v>
      </c>
      <c r="J13" s="50">
        <v>119</v>
      </c>
      <c r="N13" s="48">
        <v>1</v>
      </c>
      <c r="O13" s="48">
        <v>2</v>
      </c>
      <c r="P13" s="48">
        <v>3</v>
      </c>
      <c r="Q13" s="48">
        <v>4</v>
      </c>
      <c r="R13" s="48">
        <v>5</v>
      </c>
      <c r="S13" s="48">
        <v>6</v>
      </c>
      <c r="T13" s="48">
        <v>7</v>
      </c>
      <c r="U13" s="48">
        <v>8</v>
      </c>
      <c r="V13" s="48">
        <v>9</v>
      </c>
      <c r="W13" s="48">
        <v>10</v>
      </c>
      <c r="X13" s="48">
        <v>11</v>
      </c>
      <c r="Y13" s="48">
        <v>12</v>
      </c>
      <c r="Z13" s="48">
        <v>13</v>
      </c>
      <c r="AA13" s="48">
        <v>14</v>
      </c>
      <c r="AB13" s="48">
        <v>15</v>
      </c>
    </row>
    <row r="14" spans="1:37" x14ac:dyDescent="0.25">
      <c r="A14" s="48">
        <v>13</v>
      </c>
      <c r="B14" s="50">
        <v>89</v>
      </c>
      <c r="E14" s="48">
        <v>10</v>
      </c>
      <c r="F14" s="50">
        <v>4145</v>
      </c>
      <c r="G14" s="49">
        <v>1282</v>
      </c>
      <c r="H14" s="49">
        <v>534</v>
      </c>
      <c r="I14" s="49">
        <v>304</v>
      </c>
      <c r="J14" s="49">
        <v>102</v>
      </c>
      <c r="L14" s="76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4"/>
    </row>
    <row r="15" spans="1:37" x14ac:dyDescent="0.25">
      <c r="A15" s="48">
        <v>14</v>
      </c>
      <c r="B15" s="50">
        <v>71</v>
      </c>
      <c r="E15" s="48">
        <v>11</v>
      </c>
      <c r="F15" s="50">
        <v>4115</v>
      </c>
      <c r="G15" s="1"/>
      <c r="H15" s="1"/>
      <c r="I15" s="1"/>
      <c r="J15" s="1"/>
      <c r="L15" s="61"/>
      <c r="N15" s="48"/>
      <c r="AK15" s="53"/>
    </row>
    <row r="16" spans="1:37" x14ac:dyDescent="0.25">
      <c r="A16" s="48">
        <v>15</v>
      </c>
      <c r="B16" s="50">
        <v>66</v>
      </c>
      <c r="E16" s="48">
        <v>12</v>
      </c>
      <c r="F16" s="50">
        <v>4102</v>
      </c>
      <c r="G16" s="1"/>
      <c r="H16" s="1"/>
      <c r="I16" s="1"/>
      <c r="J16" s="1"/>
      <c r="L16" s="77"/>
      <c r="M16" s="28"/>
      <c r="N16" s="48"/>
      <c r="O16" s="28"/>
      <c r="P16" s="28"/>
      <c r="Q16" s="28"/>
      <c r="R16" s="28"/>
      <c r="S16" s="28"/>
      <c r="T16" s="28"/>
      <c r="U16" s="28"/>
      <c r="AK16" s="53"/>
    </row>
    <row r="17" spans="1:37" x14ac:dyDescent="0.25">
      <c r="A17" s="48">
        <v>16</v>
      </c>
      <c r="B17" s="50">
        <v>71</v>
      </c>
      <c r="E17" s="48">
        <v>13</v>
      </c>
      <c r="F17" s="50">
        <v>4108</v>
      </c>
      <c r="G17" s="1"/>
      <c r="H17" s="1"/>
      <c r="I17" s="1"/>
      <c r="J17" s="1"/>
      <c r="L17" s="77"/>
      <c r="M17" s="28"/>
      <c r="N17" s="48"/>
      <c r="O17" s="28"/>
      <c r="P17" s="28"/>
      <c r="Q17" s="28"/>
      <c r="R17" s="28"/>
      <c r="S17" s="28"/>
      <c r="T17" s="28"/>
      <c r="U17" s="28"/>
      <c r="AK17" s="53"/>
    </row>
    <row r="18" spans="1:37" x14ac:dyDescent="0.25">
      <c r="A18" s="48">
        <v>17</v>
      </c>
      <c r="B18" s="50">
        <v>91</v>
      </c>
      <c r="E18" s="48">
        <v>14</v>
      </c>
      <c r="F18" s="50">
        <v>4305</v>
      </c>
      <c r="G18" s="1"/>
      <c r="H18" s="1"/>
      <c r="I18" s="1"/>
      <c r="J18" s="1"/>
      <c r="L18" s="77"/>
      <c r="M18" s="28"/>
      <c r="N18" s="48"/>
      <c r="O18" s="28"/>
      <c r="P18" s="28"/>
      <c r="Q18" s="28"/>
      <c r="R18" s="28"/>
      <c r="S18" s="28"/>
      <c r="T18" s="28"/>
      <c r="U18" s="28"/>
      <c r="AK18" s="53"/>
    </row>
    <row r="19" spans="1:37" x14ac:dyDescent="0.25">
      <c r="A19" s="48">
        <v>18</v>
      </c>
      <c r="B19" s="50">
        <v>76</v>
      </c>
      <c r="E19" s="48">
        <v>15</v>
      </c>
      <c r="F19" s="50">
        <v>4171</v>
      </c>
      <c r="G19" s="1"/>
      <c r="H19" s="1"/>
      <c r="I19" s="1"/>
      <c r="J19" s="1"/>
      <c r="L19" s="77"/>
      <c r="M19" s="28"/>
      <c r="N19" s="48"/>
      <c r="O19" s="28"/>
      <c r="P19" s="28"/>
      <c r="Q19" s="28"/>
      <c r="R19" s="28"/>
      <c r="S19" s="28"/>
      <c r="T19" s="28"/>
      <c r="U19" s="28"/>
      <c r="AK19" s="53"/>
    </row>
    <row r="20" spans="1:37" x14ac:dyDescent="0.25">
      <c r="A20" s="48">
        <v>19</v>
      </c>
      <c r="B20" s="50">
        <v>75</v>
      </c>
      <c r="E20" s="48">
        <v>16</v>
      </c>
      <c r="F20" s="50">
        <v>4196</v>
      </c>
      <c r="G20" s="1"/>
      <c r="H20" s="1"/>
      <c r="I20" s="1"/>
      <c r="J20" s="1"/>
      <c r="L20" s="77"/>
      <c r="M20" s="28"/>
      <c r="N20" s="48"/>
      <c r="O20" s="28"/>
      <c r="P20" s="28"/>
      <c r="Q20" s="28"/>
      <c r="R20" s="28"/>
      <c r="S20" s="28"/>
      <c r="T20" s="28"/>
      <c r="U20" s="28"/>
      <c r="AK20" s="53"/>
    </row>
    <row r="21" spans="1:37" x14ac:dyDescent="0.25">
      <c r="A21" s="48">
        <v>20</v>
      </c>
      <c r="B21" s="50">
        <v>88</v>
      </c>
      <c r="E21" s="48">
        <v>17</v>
      </c>
      <c r="F21" s="50">
        <v>4168</v>
      </c>
      <c r="G21" s="1"/>
      <c r="H21" s="1"/>
      <c r="I21" s="1"/>
      <c r="J21" s="1"/>
      <c r="L21" s="77"/>
      <c r="M21" s="28"/>
      <c r="N21" s="48"/>
      <c r="O21" s="28"/>
      <c r="P21" s="28"/>
      <c r="Q21" s="28"/>
      <c r="R21" s="28"/>
      <c r="S21" s="28"/>
      <c r="T21" s="28"/>
      <c r="U21" s="28"/>
      <c r="AK21" s="53"/>
    </row>
    <row r="22" spans="1:37" x14ac:dyDescent="0.25">
      <c r="A22" s="48">
        <v>21</v>
      </c>
      <c r="B22" s="50">
        <v>77</v>
      </c>
      <c r="E22" s="48">
        <v>18</v>
      </c>
      <c r="F22" s="50">
        <v>4066</v>
      </c>
      <c r="G22" s="1"/>
      <c r="H22" s="1"/>
      <c r="I22" s="1"/>
      <c r="J22" s="1"/>
      <c r="L22" s="61"/>
      <c r="N22" s="48"/>
      <c r="Y22" s="27"/>
      <c r="Z22" s="27"/>
      <c r="AA22" s="27"/>
      <c r="AK22" s="53"/>
    </row>
    <row r="23" spans="1:37" x14ac:dyDescent="0.25">
      <c r="A23" s="48">
        <v>22</v>
      </c>
      <c r="B23" s="50">
        <v>73</v>
      </c>
      <c r="E23" s="48">
        <v>19</v>
      </c>
      <c r="F23" s="50">
        <v>4123</v>
      </c>
      <c r="G23" s="1"/>
      <c r="H23" s="1"/>
      <c r="I23" s="1"/>
      <c r="J23" s="1"/>
      <c r="L23" s="61"/>
      <c r="N23" s="48"/>
      <c r="AK23" s="53"/>
    </row>
    <row r="24" spans="1:37" x14ac:dyDescent="0.25">
      <c r="A24" s="48">
        <v>23</v>
      </c>
      <c r="B24" s="50">
        <v>86</v>
      </c>
      <c r="E24" s="48">
        <v>20</v>
      </c>
      <c r="F24" s="50">
        <v>4141</v>
      </c>
      <c r="G24" s="1"/>
      <c r="H24" s="1"/>
      <c r="I24" s="1"/>
      <c r="J24" s="1"/>
      <c r="L24" s="61"/>
      <c r="N24" s="48"/>
      <c r="AK24" s="53"/>
    </row>
    <row r="25" spans="1:37" x14ac:dyDescent="0.25">
      <c r="A25" s="48">
        <v>24</v>
      </c>
      <c r="B25" s="50">
        <v>69</v>
      </c>
      <c r="E25" s="48">
        <v>21</v>
      </c>
      <c r="F25" s="50">
        <v>4088</v>
      </c>
      <c r="G25" s="1"/>
      <c r="H25" s="1"/>
      <c r="I25" s="1"/>
      <c r="J25" s="1"/>
      <c r="L25" s="61"/>
      <c r="AK25" s="53"/>
    </row>
    <row r="26" spans="1:37" x14ac:dyDescent="0.25">
      <c r="A26" s="48">
        <v>25</v>
      </c>
      <c r="B26" s="50">
        <v>79</v>
      </c>
      <c r="E26" s="48">
        <v>22</v>
      </c>
      <c r="F26" s="50">
        <v>4110</v>
      </c>
      <c r="G26" s="1"/>
      <c r="H26" s="1"/>
      <c r="I26" s="1"/>
      <c r="J26" s="1"/>
      <c r="L26" s="61"/>
      <c r="AK26" s="53"/>
    </row>
    <row r="27" spans="1:37" x14ac:dyDescent="0.25">
      <c r="A27" s="48">
        <v>26</v>
      </c>
      <c r="B27" s="50">
        <v>76</v>
      </c>
      <c r="E27" s="48">
        <v>23</v>
      </c>
      <c r="F27" s="50">
        <v>4064</v>
      </c>
      <c r="G27" s="1"/>
      <c r="H27" s="1"/>
      <c r="I27" s="1"/>
      <c r="J27" s="1"/>
      <c r="L27" s="61"/>
      <c r="AK27" s="53"/>
    </row>
    <row r="28" spans="1:37" x14ac:dyDescent="0.25">
      <c r="A28" s="48">
        <v>27</v>
      </c>
      <c r="B28" s="50">
        <v>74</v>
      </c>
      <c r="E28" s="48">
        <v>24</v>
      </c>
      <c r="F28" s="50">
        <v>4190</v>
      </c>
      <c r="G28" s="1"/>
      <c r="H28" s="1"/>
      <c r="I28" s="1"/>
      <c r="J28" s="1"/>
      <c r="L28" s="61"/>
      <c r="Q28" s="73" t="s">
        <v>66</v>
      </c>
      <c r="R28" s="72"/>
      <c r="T28" s="71" t="s">
        <v>65</v>
      </c>
      <c r="U28" s="66"/>
      <c r="AK28" s="53"/>
    </row>
    <row r="29" spans="1:37" x14ac:dyDescent="0.25">
      <c r="A29" s="48">
        <v>28</v>
      </c>
      <c r="B29" s="50">
        <v>62</v>
      </c>
      <c r="E29" s="48">
        <v>25</v>
      </c>
      <c r="F29" s="50">
        <v>4112</v>
      </c>
      <c r="G29" s="1"/>
      <c r="H29" s="1"/>
      <c r="I29" s="1"/>
      <c r="J29" s="1"/>
      <c r="L29" s="61"/>
      <c r="N29" s="48"/>
      <c r="Q29" s="69" t="s">
        <v>64</v>
      </c>
      <c r="R29" s="70">
        <v>18.57670749041716</v>
      </c>
      <c r="T29" s="67" t="s">
        <v>64</v>
      </c>
      <c r="U29" s="66">
        <v>120.84999426057223</v>
      </c>
      <c r="W29" t="s">
        <v>68</v>
      </c>
      <c r="X29">
        <f>SUM(X32:X40)</f>
        <v>8244.6562539707429</v>
      </c>
      <c r="AK29" s="53"/>
    </row>
    <row r="30" spans="1:37" x14ac:dyDescent="0.25">
      <c r="A30" s="48">
        <v>29</v>
      </c>
      <c r="B30" s="50">
        <v>66</v>
      </c>
      <c r="E30" s="48">
        <v>26</v>
      </c>
      <c r="F30" s="50">
        <v>4178</v>
      </c>
      <c r="G30" s="1"/>
      <c r="H30" s="1"/>
      <c r="I30" s="1"/>
      <c r="J30" s="1"/>
      <c r="L30" s="61"/>
      <c r="Q30" s="69" t="s">
        <v>63</v>
      </c>
      <c r="R30" s="68">
        <v>1411.0645666538855</v>
      </c>
      <c r="T30" s="67" t="s">
        <v>63</v>
      </c>
      <c r="U30" s="66">
        <v>2718.5469571060685</v>
      </c>
      <c r="AK30" s="53"/>
    </row>
    <row r="31" spans="1:37" x14ac:dyDescent="0.25">
      <c r="A31" s="48">
        <v>30</v>
      </c>
      <c r="B31" s="50">
        <v>74</v>
      </c>
      <c r="E31" s="48">
        <v>27</v>
      </c>
      <c r="F31" s="50">
        <v>4164</v>
      </c>
      <c r="G31" s="1"/>
      <c r="H31" s="1"/>
      <c r="I31" s="1"/>
      <c r="J31" s="1"/>
      <c r="L31" s="61"/>
      <c r="M31" t="s">
        <v>62</v>
      </c>
      <c r="N31" t="s">
        <v>61</v>
      </c>
      <c r="O31" t="s">
        <v>60</v>
      </c>
      <c r="Q31" s="65" t="s">
        <v>58</v>
      </c>
      <c r="R31" s="65" t="s">
        <v>57</v>
      </c>
      <c r="T31" s="64" t="s">
        <v>58</v>
      </c>
      <c r="U31" s="64" t="s">
        <v>57</v>
      </c>
      <c r="W31" t="s">
        <v>56</v>
      </c>
      <c r="X31" t="s">
        <v>67</v>
      </c>
      <c r="AK31" s="53"/>
    </row>
    <row r="32" spans="1:37" x14ac:dyDescent="0.25">
      <c r="A32" s="48">
        <v>31</v>
      </c>
      <c r="B32" s="50">
        <v>97</v>
      </c>
      <c r="E32" s="48">
        <v>28</v>
      </c>
      <c r="F32" s="50">
        <v>4268</v>
      </c>
      <c r="G32" s="1"/>
      <c r="H32" s="1"/>
      <c r="I32" s="1"/>
      <c r="J32" s="1"/>
      <c r="L32" s="61"/>
      <c r="M32" s="63">
        <v>0</v>
      </c>
      <c r="N32" s="59">
        <f>AC3</f>
        <v>4132.2677272727269</v>
      </c>
      <c r="O32" s="58">
        <f>LN(N32)</f>
        <v>8.3265816217689554</v>
      </c>
      <c r="Q32" s="57">
        <f>R$30*EXP(-R$29*$M32)</f>
        <v>1411.0645666538855</v>
      </c>
      <c r="R32" s="56">
        <f>LN(Q32)</f>
        <v>7.252099710305445</v>
      </c>
      <c r="T32" s="55">
        <f>U$30*EXP(-U$29*$M32)</f>
        <v>2718.5469571060685</v>
      </c>
      <c r="U32" s="54">
        <f>LN(T32)</f>
        <v>7.9078528096043765</v>
      </c>
      <c r="W32" s="36">
        <f>Q32+T32</f>
        <v>4129.6115237599543</v>
      </c>
      <c r="X32">
        <f>(N32-W32)^2</f>
        <v>7.0554171012658351</v>
      </c>
      <c r="AK32" s="53"/>
    </row>
    <row r="33" spans="1:37" x14ac:dyDescent="0.25">
      <c r="A33" s="48">
        <v>32</v>
      </c>
      <c r="B33" s="50">
        <v>74</v>
      </c>
      <c r="E33" s="48">
        <v>29</v>
      </c>
      <c r="F33" s="50">
        <v>4150</v>
      </c>
      <c r="G33" s="1"/>
      <c r="H33" s="1"/>
      <c r="I33" s="1"/>
      <c r="J33" s="1"/>
      <c r="L33" s="61"/>
      <c r="M33" s="63">
        <v>0.01</v>
      </c>
      <c r="N33" s="59">
        <f>AC4</f>
        <v>1968.4643939393939</v>
      </c>
      <c r="O33" s="58">
        <f>LN(N33)</f>
        <v>7.5850090223052398</v>
      </c>
      <c r="Q33" s="57">
        <f>R$30*EXP(-R$29*$M33)</f>
        <v>1171.842570264155</v>
      </c>
      <c r="R33" s="56">
        <f>LN(Q33)</f>
        <v>7.066332635401273</v>
      </c>
      <c r="T33" s="55">
        <f>U$30*EXP(-U$29*$M33)</f>
        <v>811.88026062101437</v>
      </c>
      <c r="U33" s="54">
        <f>LN(T33)</f>
        <v>6.6993528669986544</v>
      </c>
      <c r="W33" s="36">
        <f>Q33+T33</f>
        <v>1983.7228308851695</v>
      </c>
      <c r="X33">
        <f>(N33-W33)^2</f>
        <v>232.81989802821155</v>
      </c>
      <c r="AK33" s="53"/>
    </row>
    <row r="34" spans="1:37" x14ac:dyDescent="0.25">
      <c r="A34" s="48">
        <v>33</v>
      </c>
      <c r="B34" s="50">
        <v>75</v>
      </c>
      <c r="E34" s="48">
        <v>30</v>
      </c>
      <c r="F34" s="50">
        <v>4236</v>
      </c>
      <c r="G34" s="1"/>
      <c r="H34" s="1"/>
      <c r="I34" s="1"/>
      <c r="J34" s="1"/>
      <c r="L34" s="61"/>
      <c r="M34" s="62">
        <v>2.5000000000000001E-2</v>
      </c>
      <c r="N34" s="59">
        <f>AC5</f>
        <v>1059.8643939393939</v>
      </c>
      <c r="O34" s="58">
        <f>LN(N34)</f>
        <v>6.9658962486764864</v>
      </c>
      <c r="Q34" s="57">
        <f>R$30*EXP(-R$29*$M34)</f>
        <v>886.85546690915476</v>
      </c>
      <c r="R34" s="56">
        <f>LN(Q34)</f>
        <v>6.7876820230450159</v>
      </c>
      <c r="T34" s="55">
        <f>U$30*EXP(-U$29*$M34)</f>
        <v>132.50269079277447</v>
      </c>
      <c r="U34" s="54">
        <f>LN(T34)</f>
        <v>4.8866029530900708</v>
      </c>
      <c r="W34" s="36">
        <f>Q34+T34</f>
        <v>1019.3581577019293</v>
      </c>
      <c r="X34">
        <f>(N34-W34)^2</f>
        <v>1640.7551741252976</v>
      </c>
      <c r="AK34" s="53"/>
    </row>
    <row r="35" spans="1:37" x14ac:dyDescent="0.25">
      <c r="A35" s="48">
        <v>34</v>
      </c>
      <c r="B35" s="50">
        <v>65</v>
      </c>
      <c r="E35" s="48">
        <v>31</v>
      </c>
      <c r="F35" s="50">
        <v>4114</v>
      </c>
      <c r="G35" s="1"/>
      <c r="H35" s="1"/>
      <c r="I35" s="1"/>
      <c r="J35" s="1"/>
      <c r="L35" s="61"/>
      <c r="M35" s="62">
        <v>0.04</v>
      </c>
      <c r="N35" s="59">
        <f>AC6</f>
        <v>691.19772727272721</v>
      </c>
      <c r="O35" s="58">
        <f>LN(N35)</f>
        <v>6.5384259293952143</v>
      </c>
      <c r="Q35" s="57">
        <f>R$30*EXP(-R$29*$M35)</f>
        <v>671.17600874438313</v>
      </c>
      <c r="R35" s="56">
        <f>LN(Q35)</f>
        <v>6.5090314106887579</v>
      </c>
      <c r="T35" s="55">
        <f>U$30*EXP(-U$29*$M35)</f>
        <v>21.625064580208072</v>
      </c>
      <c r="U35" s="54">
        <f>LN(T35)</f>
        <v>3.0738530391814871</v>
      </c>
      <c r="W35" s="36">
        <f>Q35+T35</f>
        <v>692.80107332459124</v>
      </c>
      <c r="X35">
        <f>(N35-W35)^2</f>
        <v>2.5707185620279946</v>
      </c>
      <c r="AK35" s="53"/>
    </row>
    <row r="36" spans="1:37" x14ac:dyDescent="0.25">
      <c r="A36" s="48">
        <v>35</v>
      </c>
      <c r="B36" s="50">
        <v>68</v>
      </c>
      <c r="E36" s="48">
        <v>32</v>
      </c>
      <c r="F36" s="50">
        <v>4120</v>
      </c>
      <c r="G36" s="1"/>
      <c r="H36" s="1"/>
      <c r="I36" s="1"/>
      <c r="J36" s="1"/>
      <c r="L36" s="61"/>
      <c r="M36" s="62">
        <v>5.5E-2</v>
      </c>
      <c r="N36" s="59">
        <f>AC7</f>
        <v>465.53106060606058</v>
      </c>
      <c r="O36" s="58">
        <f>LN(N36)</f>
        <v>6.1431788197457857</v>
      </c>
      <c r="Q36" s="57">
        <f>R$30*EXP(-R$29*$M36)</f>
        <v>507.94887275604401</v>
      </c>
      <c r="R36" s="56">
        <f>LN(Q36)</f>
        <v>6.2303807983325008</v>
      </c>
      <c r="T36" s="55">
        <f>U$30*EXP(-U$29*$M36)</f>
        <v>3.5293126147116025</v>
      </c>
      <c r="U36" s="54">
        <f>LN(T36)</f>
        <v>1.2611031252729037</v>
      </c>
      <c r="W36" s="36">
        <f>Q36+T36</f>
        <v>511.47818537075563</v>
      </c>
      <c r="X36">
        <f>(N36-W36)^2</f>
        <v>2111.1382741424527</v>
      </c>
      <c r="AK36" s="53"/>
    </row>
    <row r="37" spans="1:37" x14ac:dyDescent="0.25">
      <c r="A37" s="48">
        <v>36</v>
      </c>
      <c r="B37" s="50">
        <v>63</v>
      </c>
      <c r="E37" s="48">
        <v>33</v>
      </c>
      <c r="F37" s="50">
        <v>4263</v>
      </c>
      <c r="G37" s="1"/>
      <c r="H37" s="1"/>
      <c r="I37" s="1"/>
      <c r="J37" s="1"/>
      <c r="L37" s="61"/>
      <c r="M37" s="62">
        <v>0.1</v>
      </c>
      <c r="N37" s="59">
        <f>AC8</f>
        <v>213.39772727272728</v>
      </c>
      <c r="O37" s="58">
        <f>LN(N37)</f>
        <v>5.3631576887300003</v>
      </c>
      <c r="Q37" s="57">
        <f>R$30*EXP(-R$29*$M37)</f>
        <v>220.17638194862224</v>
      </c>
      <c r="R37" s="56">
        <f>LN(Q37)</f>
        <v>5.3944289612637286</v>
      </c>
      <c r="T37" s="55">
        <f>U$30*EXP(-U$29*$M37)</f>
        <v>1.5342222414466285E-2</v>
      </c>
      <c r="U37" s="54">
        <f>LN(T37)</f>
        <v>-4.1771466164528466</v>
      </c>
      <c r="W37" s="36">
        <f>Q37+T37</f>
        <v>220.1917241710367</v>
      </c>
      <c r="X37">
        <f>(N37-W37)^2</f>
        <v>46.158393854237964</v>
      </c>
      <c r="AK37" s="53"/>
    </row>
    <row r="38" spans="1:37" x14ac:dyDescent="0.25">
      <c r="A38" s="48">
        <v>37</v>
      </c>
      <c r="B38" s="50">
        <v>88</v>
      </c>
      <c r="E38" s="48">
        <v>34</v>
      </c>
      <c r="F38" s="50">
        <v>4065</v>
      </c>
      <c r="G38" s="1"/>
      <c r="H38" s="1"/>
      <c r="I38" s="1"/>
      <c r="J38" s="1"/>
      <c r="L38" s="61"/>
      <c r="M38" s="62">
        <v>0.16</v>
      </c>
      <c r="N38" s="59">
        <f>AC9</f>
        <v>105.46439393939394</v>
      </c>
      <c r="O38" s="58">
        <f>LN(N38)</f>
        <v>4.6583733977459882</v>
      </c>
      <c r="Q38" s="57">
        <f>R$30*EXP(-R$29*$M38)</f>
        <v>72.227908233305556</v>
      </c>
      <c r="R38" s="56">
        <f>LN(Q38)</f>
        <v>4.2798265118386984</v>
      </c>
      <c r="T38" s="55">
        <f>U$30*EXP(-U$29*$M38)</f>
        <v>1.0884766967603972E-5</v>
      </c>
      <c r="U38" s="54">
        <f>LN(T38)</f>
        <v>-11.428146272087181</v>
      </c>
      <c r="W38" s="36">
        <f>Q38+T38</f>
        <v>72.227919118072521</v>
      </c>
      <c r="X38">
        <f>(N38-W38)^2</f>
        <v>1104.6632585483328</v>
      </c>
      <c r="AK38" s="53"/>
    </row>
    <row r="39" spans="1:37" x14ac:dyDescent="0.25">
      <c r="A39" s="48">
        <v>38</v>
      </c>
      <c r="B39" s="50">
        <v>69</v>
      </c>
      <c r="E39" s="48">
        <v>35</v>
      </c>
      <c r="F39" s="50">
        <v>4086</v>
      </c>
      <c r="G39" s="1"/>
      <c r="H39" s="1"/>
      <c r="I39" s="1"/>
      <c r="J39" s="1"/>
      <c r="L39" s="61"/>
      <c r="M39" s="62">
        <v>0.2</v>
      </c>
      <c r="N39" s="59">
        <f>AC10</f>
        <v>70.597727272727269</v>
      </c>
      <c r="O39" s="58">
        <f>LN(N39)</f>
        <v>4.2569979523766062</v>
      </c>
      <c r="Q39" s="57">
        <f>R$30*EXP(-R$29*$M39)</f>
        <v>34.355365667598448</v>
      </c>
      <c r="R39" s="56">
        <f>LN(Q39)</f>
        <v>3.5367582122220123</v>
      </c>
      <c r="T39" s="55">
        <f>U$30*EXP(-U$29*$M39)</f>
        <v>8.6584411573129887E-8</v>
      </c>
      <c r="U39" s="54">
        <f>LN(T39)</f>
        <v>-16.262146042510068</v>
      </c>
      <c r="W39" s="36">
        <f>Q39+T39</f>
        <v>34.355365754182863</v>
      </c>
      <c r="X39">
        <f>(N39-W39)^2</f>
        <v>1313.5087684408684</v>
      </c>
      <c r="AK39" s="53"/>
    </row>
    <row r="40" spans="1:37" x14ac:dyDescent="0.25">
      <c r="A40" s="48">
        <v>39</v>
      </c>
      <c r="B40" s="50">
        <v>74</v>
      </c>
      <c r="E40" s="48">
        <v>36</v>
      </c>
      <c r="F40" s="50">
        <v>4146</v>
      </c>
      <c r="G40" s="1"/>
      <c r="H40" s="1"/>
      <c r="I40" s="1"/>
      <c r="J40" s="1"/>
      <c r="L40" s="61"/>
      <c r="M40" s="60">
        <v>0.26</v>
      </c>
      <c r="N40" s="59">
        <f>AC11</f>
        <v>53.531060606060613</v>
      </c>
      <c r="O40" s="58">
        <f>LN(N40)</f>
        <v>3.9802620575110943</v>
      </c>
      <c r="Q40" s="57">
        <f>R$30*EXP(-R$29*$M40)</f>
        <v>11.270128870316304</v>
      </c>
      <c r="R40" s="56">
        <f>LN(Q40)</f>
        <v>2.4221557627969825</v>
      </c>
      <c r="T40" s="55">
        <f>U$30*EXP(-U$29*$M40)</f>
        <v>6.1428593429331835E-11</v>
      </c>
      <c r="U40" s="54">
        <f>LN(T40)</f>
        <v>-23.513145698144402</v>
      </c>
      <c r="W40" s="36">
        <f>Q40+T40</f>
        <v>11.270128870377732</v>
      </c>
      <c r="X40">
        <f>(N40-W40)^2</f>
        <v>1785.9863511680485</v>
      </c>
      <c r="AK40" s="53"/>
    </row>
    <row r="41" spans="1:37" ht="15.75" thickBot="1" x14ac:dyDescent="0.3">
      <c r="A41" s="48">
        <v>40</v>
      </c>
      <c r="B41" s="50">
        <v>86</v>
      </c>
      <c r="E41" s="48">
        <v>37</v>
      </c>
      <c r="F41" s="50">
        <v>4173</v>
      </c>
      <c r="G41" s="1"/>
      <c r="H41" s="1"/>
      <c r="I41" s="1"/>
      <c r="J41" s="1"/>
      <c r="L41" s="52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51"/>
    </row>
    <row r="42" spans="1:37" x14ac:dyDescent="0.25">
      <c r="A42" s="48">
        <v>41</v>
      </c>
      <c r="B42" s="50">
        <v>88</v>
      </c>
      <c r="E42" s="48">
        <v>38</v>
      </c>
      <c r="F42" s="50">
        <v>4139</v>
      </c>
      <c r="G42" s="1"/>
      <c r="H42" s="1"/>
      <c r="I42" s="1"/>
      <c r="J42" s="1"/>
      <c r="L42" s="76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4"/>
    </row>
    <row r="43" spans="1:37" x14ac:dyDescent="0.25">
      <c r="A43" s="48">
        <v>42</v>
      </c>
      <c r="B43" s="50">
        <v>84</v>
      </c>
      <c r="E43" s="48">
        <v>39</v>
      </c>
      <c r="F43" s="50">
        <v>4202</v>
      </c>
      <c r="G43" s="1"/>
      <c r="H43" s="1"/>
      <c r="I43" s="1"/>
      <c r="J43" s="1"/>
      <c r="L43" s="61"/>
      <c r="AK43" s="53"/>
    </row>
    <row r="44" spans="1:37" x14ac:dyDescent="0.25">
      <c r="A44" s="48">
        <v>43</v>
      </c>
      <c r="B44" s="50">
        <v>66</v>
      </c>
      <c r="E44" s="48">
        <v>40</v>
      </c>
      <c r="F44" s="50">
        <v>4105</v>
      </c>
      <c r="G44" s="1"/>
      <c r="H44" s="1"/>
      <c r="I44" s="1"/>
      <c r="J44" s="1"/>
      <c r="L44" s="61"/>
      <c r="AK44" s="53"/>
    </row>
    <row r="45" spans="1:37" x14ac:dyDescent="0.25">
      <c r="A45" s="48">
        <v>44</v>
      </c>
      <c r="B45" s="49">
        <v>84</v>
      </c>
      <c r="E45" s="48">
        <v>41</v>
      </c>
      <c r="F45" s="50">
        <v>4121</v>
      </c>
      <c r="G45" s="1"/>
      <c r="H45" s="1"/>
      <c r="I45" s="1"/>
      <c r="J45" s="1"/>
      <c r="L45" s="61"/>
      <c r="AK45" s="53"/>
    </row>
    <row r="46" spans="1:37" x14ac:dyDescent="0.25">
      <c r="E46" s="48">
        <v>42</v>
      </c>
      <c r="F46" s="50">
        <v>4122</v>
      </c>
      <c r="G46" s="1"/>
      <c r="H46" s="1"/>
      <c r="I46" s="1"/>
      <c r="J46" s="1"/>
      <c r="L46" s="61"/>
      <c r="AK46" s="53"/>
    </row>
    <row r="47" spans="1:37" x14ac:dyDescent="0.25">
      <c r="E47" s="48">
        <v>43</v>
      </c>
      <c r="F47" s="50">
        <v>4214</v>
      </c>
      <c r="G47" s="1"/>
      <c r="H47" s="1"/>
      <c r="I47" s="1"/>
      <c r="J47" s="1"/>
      <c r="L47" s="61"/>
      <c r="AK47" s="53"/>
    </row>
    <row r="48" spans="1:37" x14ac:dyDescent="0.25">
      <c r="E48" s="48">
        <v>44</v>
      </c>
      <c r="F48" s="50">
        <v>4033</v>
      </c>
      <c r="G48" s="1"/>
      <c r="H48" s="1"/>
      <c r="I48" s="1"/>
      <c r="J48" s="1"/>
      <c r="L48" s="61"/>
      <c r="AK48" s="53"/>
    </row>
    <row r="49" spans="5:37" x14ac:dyDescent="0.25">
      <c r="E49" s="48">
        <v>45</v>
      </c>
      <c r="F49" s="50">
        <v>4080</v>
      </c>
      <c r="G49" s="1"/>
      <c r="H49" s="1"/>
      <c r="I49" s="1"/>
      <c r="J49" s="1"/>
      <c r="L49" s="61"/>
      <c r="AK49" s="53"/>
    </row>
    <row r="50" spans="5:37" x14ac:dyDescent="0.25">
      <c r="E50" s="48">
        <v>46</v>
      </c>
      <c r="F50" s="50">
        <v>4168</v>
      </c>
      <c r="G50" s="1"/>
      <c r="H50" s="1"/>
      <c r="I50" s="1"/>
      <c r="J50" s="1"/>
      <c r="L50" s="61"/>
      <c r="AK50" s="53"/>
    </row>
    <row r="51" spans="5:37" x14ac:dyDescent="0.25">
      <c r="E51" s="48">
        <v>47</v>
      </c>
      <c r="F51" s="50">
        <v>4163</v>
      </c>
      <c r="G51" s="1"/>
      <c r="H51" s="1"/>
      <c r="I51" s="1"/>
      <c r="J51" s="1"/>
      <c r="L51" s="61"/>
      <c r="AK51" s="53"/>
    </row>
    <row r="52" spans="5:37" x14ac:dyDescent="0.25">
      <c r="E52" s="48">
        <v>48</v>
      </c>
      <c r="F52" s="50">
        <v>4122</v>
      </c>
      <c r="G52" s="1"/>
      <c r="H52" s="1"/>
      <c r="I52" s="1"/>
      <c r="J52" s="1"/>
      <c r="L52" s="61"/>
      <c r="AK52" s="53"/>
    </row>
    <row r="53" spans="5:37" x14ac:dyDescent="0.25">
      <c r="E53" s="48">
        <v>49</v>
      </c>
      <c r="F53" s="50">
        <v>4146</v>
      </c>
      <c r="G53" s="1"/>
      <c r="H53" s="1"/>
      <c r="I53" s="1"/>
      <c r="J53" s="1"/>
      <c r="L53" s="61"/>
      <c r="AK53" s="53"/>
    </row>
    <row r="54" spans="5:37" x14ac:dyDescent="0.25">
      <c r="E54" s="48">
        <v>50</v>
      </c>
      <c r="F54" s="50">
        <v>4119</v>
      </c>
      <c r="G54" s="1"/>
      <c r="H54" s="1"/>
      <c r="I54" s="1"/>
      <c r="J54" s="1"/>
      <c r="L54" s="61"/>
      <c r="AK54" s="53"/>
    </row>
    <row r="55" spans="5:37" x14ac:dyDescent="0.25">
      <c r="E55" s="48">
        <v>51</v>
      </c>
      <c r="F55" s="50">
        <v>4160</v>
      </c>
      <c r="G55" s="1"/>
      <c r="H55" s="1"/>
      <c r="I55" s="1"/>
      <c r="J55" s="1"/>
      <c r="L55" s="61"/>
      <c r="AK55" s="53"/>
    </row>
    <row r="56" spans="5:37" x14ac:dyDescent="0.25">
      <c r="E56" s="48">
        <v>52</v>
      </c>
      <c r="F56" s="50">
        <v>4199</v>
      </c>
      <c r="G56" s="1"/>
      <c r="H56" s="1"/>
      <c r="I56" s="1"/>
      <c r="J56" s="1"/>
      <c r="L56" s="61"/>
      <c r="Q56" s="73" t="s">
        <v>66</v>
      </c>
      <c r="R56" s="72"/>
      <c r="W56" s="71" t="s">
        <v>65</v>
      </c>
      <c r="X56" s="66"/>
      <c r="AK56" s="53"/>
    </row>
    <row r="57" spans="5:37" x14ac:dyDescent="0.25">
      <c r="E57" s="48">
        <v>53</v>
      </c>
      <c r="F57" s="50">
        <v>4126</v>
      </c>
      <c r="G57" s="1"/>
      <c r="H57" s="1"/>
      <c r="I57" s="1"/>
      <c r="J57" s="1"/>
      <c r="L57" s="61"/>
      <c r="N57" s="48"/>
      <c r="Q57" s="69" t="s">
        <v>64</v>
      </c>
      <c r="R57" s="70">
        <f>-SLOPE(O65:O68,M65:M68)</f>
        <v>8.7249381915367739</v>
      </c>
      <c r="W57" s="67" t="s">
        <v>64</v>
      </c>
      <c r="X57" s="66">
        <f>-SLOPE(U60:U64,M60:M64)</f>
        <v>52.926298572922406</v>
      </c>
      <c r="AK57" s="53"/>
    </row>
    <row r="58" spans="5:37" x14ac:dyDescent="0.25">
      <c r="E58" s="48">
        <v>54</v>
      </c>
      <c r="F58" s="50">
        <v>4177</v>
      </c>
      <c r="G58" s="1"/>
      <c r="H58" s="1"/>
      <c r="I58" s="1"/>
      <c r="J58" s="1"/>
      <c r="L58" s="61"/>
      <c r="Q58" s="69" t="s">
        <v>63</v>
      </c>
      <c r="R58" s="68">
        <f>EXP(INTERCEPT(O65:O68,M65:M68))</f>
        <v>461.82528500284349</v>
      </c>
      <c r="W58" s="67" t="s">
        <v>63</v>
      </c>
      <c r="X58" s="66">
        <f>EXP(INTERCEPT(U60:U64,M60:M64))</f>
        <v>3016.0326636956993</v>
      </c>
      <c r="AK58" s="53"/>
    </row>
    <row r="59" spans="5:37" x14ac:dyDescent="0.25">
      <c r="E59" s="48">
        <v>55</v>
      </c>
      <c r="F59" s="50">
        <v>4114</v>
      </c>
      <c r="G59" s="1"/>
      <c r="H59" s="1"/>
      <c r="I59" s="1"/>
      <c r="J59" s="1"/>
      <c r="L59" s="61"/>
      <c r="M59" t="s">
        <v>62</v>
      </c>
      <c r="N59" t="s">
        <v>61</v>
      </c>
      <c r="O59" t="s">
        <v>60</v>
      </c>
      <c r="Q59" s="65" t="s">
        <v>58</v>
      </c>
      <c r="R59" s="65" t="s">
        <v>57</v>
      </c>
      <c r="T59" t="s">
        <v>59</v>
      </c>
      <c r="W59" s="64" t="s">
        <v>58</v>
      </c>
      <c r="X59" s="64" t="s">
        <v>57</v>
      </c>
      <c r="Z59" t="s">
        <v>56</v>
      </c>
      <c r="AK59" s="53"/>
    </row>
    <row r="60" spans="5:37" x14ac:dyDescent="0.25">
      <c r="E60" s="48">
        <v>56</v>
      </c>
      <c r="F60" s="50">
        <v>4139</v>
      </c>
      <c r="G60" s="1"/>
      <c r="H60" s="1"/>
      <c r="I60" s="1"/>
      <c r="J60" s="1"/>
      <c r="L60" s="61"/>
      <c r="M60" s="63">
        <v>0</v>
      </c>
      <c r="N60" s="59">
        <f>AC3</f>
        <v>4132.2677272727269</v>
      </c>
      <c r="O60" s="58">
        <f>LN(N60)</f>
        <v>8.3265816217689554</v>
      </c>
      <c r="Q60" s="57">
        <f>R$58*EXP(-R$57*$M60)</f>
        <v>461.82528500284349</v>
      </c>
      <c r="R60" s="56">
        <f>LN(Q60)</f>
        <v>6.135186648567541</v>
      </c>
      <c r="T60" s="36">
        <f>N60-Q60</f>
        <v>3670.4424422698835</v>
      </c>
      <c r="U60" s="58">
        <f>LN(T60)</f>
        <v>8.2080674902590758</v>
      </c>
      <c r="W60" s="55">
        <f>X$58*EXP(-X$57*$M60)</f>
        <v>3016.0326636956993</v>
      </c>
      <c r="X60" s="54">
        <f>LN(W60)</f>
        <v>8.0116975592070325</v>
      </c>
      <c r="Z60" s="36">
        <f>Q60+W60</f>
        <v>3477.8579486985427</v>
      </c>
      <c r="AK60" s="53"/>
    </row>
    <row r="61" spans="5:37" x14ac:dyDescent="0.25">
      <c r="E61" s="48">
        <v>57</v>
      </c>
      <c r="F61" s="50">
        <v>4127</v>
      </c>
      <c r="G61" s="1"/>
      <c r="H61" s="1"/>
      <c r="I61" s="1"/>
      <c r="J61" s="1"/>
      <c r="L61" s="61"/>
      <c r="M61" s="63">
        <v>0.01</v>
      </c>
      <c r="N61" s="59">
        <f>AC4</f>
        <v>1968.4643939393939</v>
      </c>
      <c r="O61" s="58">
        <f>LN(N61)</f>
        <v>7.5850090223052398</v>
      </c>
      <c r="Q61" s="57">
        <f>R$58*EXP(-R$57*$M61)</f>
        <v>423.23909960704344</v>
      </c>
      <c r="R61" s="56">
        <f>LN(Q61)</f>
        <v>6.0479372666521733</v>
      </c>
      <c r="T61" s="36">
        <f>N61-Q61</f>
        <v>1545.2252943323504</v>
      </c>
      <c r="U61" s="58">
        <f>LN(T61)</f>
        <v>7.3429250002752502</v>
      </c>
      <c r="W61" s="55">
        <f>X$58*EXP(-X$57*$M61)</f>
        <v>1776.5606827531101</v>
      </c>
      <c r="X61" s="54">
        <f>LN(W61)</f>
        <v>7.4824345734778079</v>
      </c>
      <c r="Z61" s="36">
        <f>Q61+W61</f>
        <v>2199.7997823601536</v>
      </c>
      <c r="AK61" s="53"/>
    </row>
    <row r="62" spans="5:37" x14ac:dyDescent="0.25">
      <c r="E62" s="48">
        <v>58</v>
      </c>
      <c r="F62" s="50">
        <v>4152</v>
      </c>
      <c r="G62" s="1"/>
      <c r="H62" s="1"/>
      <c r="I62" s="1"/>
      <c r="J62" s="1"/>
      <c r="L62" s="61"/>
      <c r="M62" s="62">
        <v>2.5000000000000001E-2</v>
      </c>
      <c r="N62" s="59">
        <f>AC5</f>
        <v>1059.8643939393939</v>
      </c>
      <c r="O62" s="58">
        <f>LN(N62)</f>
        <v>6.9658962486764864</v>
      </c>
      <c r="Q62" s="57">
        <f>R$58*EXP(-R$57*$M62)</f>
        <v>371.31961726113803</v>
      </c>
      <c r="R62" s="56">
        <f>LN(Q62)</f>
        <v>5.9170631937791214</v>
      </c>
      <c r="T62" s="36">
        <f>N62-Q62</f>
        <v>688.54477667825586</v>
      </c>
      <c r="U62" s="58">
        <f>LN(T62)</f>
        <v>6.5345803511713108</v>
      </c>
      <c r="W62" s="55">
        <f>X$58*EXP(-X$57*$M62)</f>
        <v>803.14887469141877</v>
      </c>
      <c r="X62" s="54">
        <f>LN(W62)</f>
        <v>6.6885400948839724</v>
      </c>
      <c r="Z62" s="36">
        <f>Q62+W62</f>
        <v>1174.4684919525569</v>
      </c>
      <c r="AK62" s="53"/>
    </row>
    <row r="63" spans="5:37" x14ac:dyDescent="0.25">
      <c r="E63" s="48">
        <v>59</v>
      </c>
      <c r="F63" s="50">
        <v>4076</v>
      </c>
      <c r="G63" s="1"/>
      <c r="H63" s="1"/>
      <c r="I63" s="1"/>
      <c r="J63" s="1"/>
      <c r="L63" s="61"/>
      <c r="M63" s="62">
        <v>0.04</v>
      </c>
      <c r="N63" s="59">
        <f>AC6</f>
        <v>691.19772727272721</v>
      </c>
      <c r="O63" s="58">
        <f>LN(N63)</f>
        <v>6.5384259293952143</v>
      </c>
      <c r="Q63" s="57">
        <f>R$58*EXP(-R$57*$M63)</f>
        <v>325.76918883669106</v>
      </c>
      <c r="R63" s="56">
        <f>LN(Q63)</f>
        <v>5.7861891209060703</v>
      </c>
      <c r="T63" s="36">
        <f>N63-Q63</f>
        <v>365.42853843603615</v>
      </c>
      <c r="U63" s="58">
        <f>LN(T63)</f>
        <v>5.9010707427989724</v>
      </c>
      <c r="W63" s="55">
        <f>X$58*EXP(-X$57*$M63)</f>
        <v>363.08814057421927</v>
      </c>
      <c r="X63" s="54">
        <f>LN(W63)</f>
        <v>5.8946456162901359</v>
      </c>
      <c r="Z63" s="36">
        <f>Q63+W63</f>
        <v>688.85732941091032</v>
      </c>
      <c r="AK63" s="53"/>
    </row>
    <row r="64" spans="5:37" x14ac:dyDescent="0.25">
      <c r="E64" s="48">
        <v>60</v>
      </c>
      <c r="F64" s="50">
        <v>4046</v>
      </c>
      <c r="G64" s="1"/>
      <c r="H64" s="1"/>
      <c r="I64" s="1"/>
      <c r="J64" s="1"/>
      <c r="L64" s="61"/>
      <c r="M64" s="62">
        <v>5.5E-2</v>
      </c>
      <c r="N64" s="59">
        <f>AC7</f>
        <v>465.53106060606058</v>
      </c>
      <c r="O64" s="58">
        <f>LN(N64)</f>
        <v>6.1431788197457857</v>
      </c>
      <c r="Q64" s="57">
        <f>R$58*EXP(-R$57*$M64)</f>
        <v>285.80651132331843</v>
      </c>
      <c r="R64" s="56">
        <f>LN(Q64)</f>
        <v>5.6553150480330183</v>
      </c>
      <c r="T64" s="36">
        <f>N64-Q64</f>
        <v>179.72454928274215</v>
      </c>
      <c r="U64" s="58">
        <f>LN(T64)</f>
        <v>5.1914253970506392</v>
      </c>
      <c r="W64" s="55">
        <f>X$58*EXP(-X$57*$M64)</f>
        <v>164.14515662030422</v>
      </c>
      <c r="X64" s="54">
        <f>LN(W64)</f>
        <v>5.1007511376963004</v>
      </c>
      <c r="Z64" s="36">
        <f>Q64+W64</f>
        <v>449.95166794362262</v>
      </c>
      <c r="AK64" s="53"/>
    </row>
    <row r="65" spans="5:37" x14ac:dyDescent="0.25">
      <c r="E65" s="48">
        <v>61</v>
      </c>
      <c r="F65" s="50">
        <v>4158</v>
      </c>
      <c r="G65" s="1"/>
      <c r="H65" s="1"/>
      <c r="I65" s="1"/>
      <c r="J65" s="1"/>
      <c r="L65" s="61"/>
      <c r="M65" s="62">
        <v>0.1</v>
      </c>
      <c r="N65" s="59">
        <f>AC8</f>
        <v>213.39772727272728</v>
      </c>
      <c r="O65" s="58">
        <f>LN(N65)</f>
        <v>5.3631576887300003</v>
      </c>
      <c r="Q65" s="57">
        <f>R$58*EXP(-R$57*$M65)</f>
        <v>193.0005096189056</v>
      </c>
      <c r="R65" s="56">
        <f>LN(Q65)</f>
        <v>5.2626928294138633</v>
      </c>
      <c r="T65" s="36">
        <f>N65-Q65</f>
        <v>20.397217653821684</v>
      </c>
      <c r="U65" s="58"/>
      <c r="W65" s="55">
        <f>X$58*EXP(-X$57*$M65)</f>
        <v>15.166176254756488</v>
      </c>
      <c r="X65" s="54">
        <f>LN(W65)</f>
        <v>2.719067701914792</v>
      </c>
      <c r="Z65" s="36">
        <f>Q65+W65</f>
        <v>208.16668587366209</v>
      </c>
      <c r="AK65" s="53"/>
    </row>
    <row r="66" spans="5:37" x14ac:dyDescent="0.25">
      <c r="E66" s="48">
        <v>62</v>
      </c>
      <c r="F66" s="50">
        <v>4081</v>
      </c>
      <c r="G66" s="1"/>
      <c r="H66" s="1"/>
      <c r="I66" s="1"/>
      <c r="J66" s="1"/>
      <c r="L66" s="61"/>
      <c r="M66" s="62">
        <v>0.16</v>
      </c>
      <c r="N66" s="59">
        <f>AC9</f>
        <v>105.46439393939394</v>
      </c>
      <c r="O66" s="58">
        <f>LN(N66)</f>
        <v>4.6583733977459882</v>
      </c>
      <c r="Q66" s="57">
        <f>R$58*EXP(-R$57*$M66)</f>
        <v>114.34229506532732</v>
      </c>
      <c r="R66" s="56">
        <f>LN(Q66)</f>
        <v>4.7391965379216572</v>
      </c>
      <c r="T66" s="36">
        <f>N66-Q66</f>
        <v>-8.8779011259333771</v>
      </c>
      <c r="W66" s="55">
        <f>X$58*EXP(-X$57*$M66)</f>
        <v>0.63349053986334325</v>
      </c>
      <c r="X66" s="54">
        <f>LN(W66)</f>
        <v>-0.45651021246055212</v>
      </c>
      <c r="Z66" s="36">
        <f>Q66+W66</f>
        <v>114.97578560519067</v>
      </c>
      <c r="AK66" s="53"/>
    </row>
    <row r="67" spans="5:37" x14ac:dyDescent="0.25">
      <c r="E67" s="48">
        <v>63</v>
      </c>
      <c r="F67" s="50">
        <v>4120</v>
      </c>
      <c r="G67" s="1"/>
      <c r="H67" s="1"/>
      <c r="I67" s="1"/>
      <c r="J67" s="1"/>
      <c r="L67" s="61"/>
      <c r="M67" s="62">
        <v>0.2</v>
      </c>
      <c r="N67" s="59">
        <f>AC10</f>
        <v>70.597727272727269</v>
      </c>
      <c r="O67" s="58">
        <f>LN(N67)</f>
        <v>4.2569979523766062</v>
      </c>
      <c r="Q67" s="57">
        <f>R$58*EXP(-R$57*$M67)</f>
        <v>80.656468848231043</v>
      </c>
      <c r="R67" s="56">
        <f>LN(Q67)</f>
        <v>4.3901990102601864</v>
      </c>
      <c r="T67" s="36">
        <f>N67-Q67</f>
        <v>-10.058741575503774</v>
      </c>
      <c r="W67" s="55">
        <f>X$58*EXP(-X$57*$M67)</f>
        <v>7.626339892104915E-2</v>
      </c>
      <c r="X67" s="54">
        <f>LN(W67)</f>
        <v>-2.5735621553774486</v>
      </c>
      <c r="Z67" s="36">
        <f>Q67+W67</f>
        <v>80.732732247152086</v>
      </c>
      <c r="AK67" s="53"/>
    </row>
    <row r="68" spans="5:37" x14ac:dyDescent="0.25">
      <c r="E68" s="48">
        <v>64</v>
      </c>
      <c r="F68" s="50">
        <v>4183</v>
      </c>
      <c r="G68" s="1"/>
      <c r="H68" s="1"/>
      <c r="I68" s="1"/>
      <c r="J68" s="1"/>
      <c r="L68" s="61"/>
      <c r="M68" s="60">
        <v>0.26</v>
      </c>
      <c r="N68" s="59">
        <f>AC11</f>
        <v>53.531060606060613</v>
      </c>
      <c r="O68" s="58">
        <f>LN(N68)</f>
        <v>3.9802620575110943</v>
      </c>
      <c r="Q68" s="57">
        <f>R$58*EXP(-R$57*$M68)</f>
        <v>47.784566881104347</v>
      </c>
      <c r="R68" s="56">
        <f>LN(Q68)</f>
        <v>3.8667027187679799</v>
      </c>
      <c r="T68" s="36">
        <f>N68-Q68</f>
        <v>5.7464937249562666</v>
      </c>
      <c r="W68" s="55">
        <f>X$58*EXP(-X$57*$M68)</f>
        <v>3.1855189431256306E-3</v>
      </c>
      <c r="X68" s="54">
        <f>LN(W68)</f>
        <v>-5.7491400697527926</v>
      </c>
      <c r="Z68" s="36">
        <f>Q68+W68</f>
        <v>47.787752400047474</v>
      </c>
      <c r="AK68" s="53"/>
    </row>
    <row r="69" spans="5:37" ht="15.75" thickBot="1" x14ac:dyDescent="0.3">
      <c r="E69" s="48">
        <v>65</v>
      </c>
      <c r="F69" s="50">
        <v>4252</v>
      </c>
      <c r="G69" s="1"/>
      <c r="H69" s="1"/>
      <c r="I69" s="1"/>
      <c r="J69" s="1"/>
      <c r="L69" s="52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51"/>
    </row>
    <row r="70" spans="5:37" x14ac:dyDescent="0.25">
      <c r="E70" s="48">
        <v>66</v>
      </c>
      <c r="F70" s="50">
        <v>4269</v>
      </c>
      <c r="G70" s="1"/>
      <c r="H70" s="1"/>
      <c r="I70" s="1"/>
      <c r="J70" s="1"/>
    </row>
    <row r="71" spans="5:37" x14ac:dyDescent="0.25">
      <c r="E71" s="48">
        <v>67</v>
      </c>
      <c r="F71" s="50">
        <v>4104</v>
      </c>
      <c r="G71" s="1"/>
      <c r="H71" s="1"/>
      <c r="I71" s="1"/>
      <c r="J71" s="1"/>
    </row>
    <row r="72" spans="5:37" x14ac:dyDescent="0.25">
      <c r="E72" s="48">
        <v>68</v>
      </c>
      <c r="F72" s="50">
        <v>4214</v>
      </c>
      <c r="G72" s="1"/>
      <c r="H72" s="1"/>
      <c r="I72" s="1"/>
      <c r="J72" s="1"/>
    </row>
    <row r="73" spans="5:37" x14ac:dyDescent="0.25">
      <c r="E73" s="48">
        <v>69</v>
      </c>
      <c r="F73" s="50">
        <v>4146</v>
      </c>
      <c r="G73" s="1"/>
      <c r="H73" s="1"/>
      <c r="I73" s="1"/>
      <c r="J73" s="1"/>
    </row>
    <row r="74" spans="5:37" x14ac:dyDescent="0.25">
      <c r="E74" s="48">
        <v>70</v>
      </c>
      <c r="F74" s="50">
        <v>4131</v>
      </c>
      <c r="G74" s="1"/>
      <c r="H74" s="1"/>
      <c r="I74" s="1"/>
      <c r="J74" s="1"/>
    </row>
    <row r="75" spans="5:37" x14ac:dyDescent="0.25">
      <c r="E75" s="48">
        <v>71</v>
      </c>
      <c r="F75" s="50">
        <v>4144</v>
      </c>
      <c r="G75" s="1"/>
      <c r="H75" s="1"/>
      <c r="I75" s="1"/>
      <c r="J75" s="1"/>
    </row>
    <row r="76" spans="5:37" x14ac:dyDescent="0.25">
      <c r="E76" s="48">
        <v>72</v>
      </c>
      <c r="F76" s="50">
        <v>4031</v>
      </c>
      <c r="G76" s="1"/>
      <c r="H76" s="1"/>
      <c r="I76" s="1"/>
      <c r="J76" s="1"/>
    </row>
    <row r="77" spans="5:37" x14ac:dyDescent="0.25">
      <c r="E77" s="48">
        <v>73</v>
      </c>
      <c r="F77" s="50">
        <v>4129</v>
      </c>
      <c r="G77" s="1"/>
      <c r="H77" s="1"/>
      <c r="I77" s="1"/>
      <c r="J77" s="1"/>
    </row>
    <row r="78" spans="5:37" x14ac:dyDescent="0.25">
      <c r="E78" s="48">
        <v>74</v>
      </c>
      <c r="F78" s="50">
        <v>4115</v>
      </c>
      <c r="G78" s="1"/>
      <c r="H78" s="1"/>
      <c r="I78" s="1"/>
      <c r="J78" s="1"/>
    </row>
    <row r="79" spans="5:37" x14ac:dyDescent="0.25">
      <c r="E79" s="48">
        <v>75</v>
      </c>
      <c r="F79" s="50">
        <v>4112</v>
      </c>
      <c r="G79" s="1"/>
      <c r="H79" s="1"/>
      <c r="I79" s="1"/>
      <c r="J79" s="1"/>
    </row>
    <row r="80" spans="5:37" x14ac:dyDescent="0.25">
      <c r="E80" s="48">
        <v>76</v>
      </c>
      <c r="F80" s="50">
        <v>4113</v>
      </c>
      <c r="G80" s="1"/>
      <c r="H80" s="1"/>
      <c r="I80" s="1"/>
      <c r="J80" s="1"/>
    </row>
    <row r="81" spans="5:10" x14ac:dyDescent="0.25">
      <c r="E81" s="48">
        <v>77</v>
      </c>
      <c r="F81" s="50">
        <v>4197</v>
      </c>
      <c r="G81" s="1"/>
      <c r="H81" s="1"/>
      <c r="I81" s="1"/>
      <c r="J81" s="1"/>
    </row>
    <row r="82" spans="5:10" x14ac:dyDescent="0.25">
      <c r="E82" s="48">
        <v>78</v>
      </c>
      <c r="F82" s="50">
        <v>4086</v>
      </c>
      <c r="G82" s="1"/>
      <c r="H82" s="1"/>
      <c r="I82" s="1"/>
      <c r="J82" s="1"/>
    </row>
    <row r="83" spans="5:10" x14ac:dyDescent="0.25">
      <c r="E83" s="48">
        <v>79</v>
      </c>
      <c r="F83" s="50">
        <v>4120</v>
      </c>
      <c r="G83" s="1"/>
      <c r="H83" s="1"/>
      <c r="I83" s="1"/>
      <c r="J83" s="1"/>
    </row>
    <row r="84" spans="5:10" x14ac:dyDescent="0.25">
      <c r="E84" s="48">
        <v>80</v>
      </c>
      <c r="F84" s="50">
        <v>4152</v>
      </c>
      <c r="G84" s="1"/>
      <c r="H84" s="1"/>
      <c r="I84" s="1"/>
      <c r="J84" s="1"/>
    </row>
    <row r="85" spans="5:10" x14ac:dyDescent="0.25">
      <c r="E85" s="48">
        <v>81</v>
      </c>
      <c r="F85" s="50">
        <v>4097</v>
      </c>
      <c r="G85" s="1"/>
      <c r="H85" s="1"/>
      <c r="I85" s="1"/>
      <c r="J85" s="1"/>
    </row>
    <row r="86" spans="5:10" x14ac:dyDescent="0.25">
      <c r="E86" s="48">
        <v>82</v>
      </c>
      <c r="F86" s="50">
        <v>4138</v>
      </c>
      <c r="G86" s="1"/>
      <c r="H86" s="1"/>
      <c r="I86" s="1"/>
      <c r="J86" s="1"/>
    </row>
    <row r="87" spans="5:10" x14ac:dyDescent="0.25">
      <c r="E87" s="48">
        <v>83</v>
      </c>
      <c r="F87" s="50">
        <v>4198</v>
      </c>
      <c r="G87" s="1"/>
      <c r="H87" s="1"/>
      <c r="I87" s="1"/>
      <c r="J87" s="1"/>
    </row>
    <row r="88" spans="5:10" x14ac:dyDescent="0.25">
      <c r="E88" s="48">
        <v>84</v>
      </c>
      <c r="F88" s="50">
        <v>4169</v>
      </c>
      <c r="G88" s="1"/>
      <c r="H88" s="1"/>
      <c r="I88" s="1"/>
      <c r="J88" s="1"/>
    </row>
    <row r="89" spans="5:10" x14ac:dyDescent="0.25">
      <c r="E89" s="48">
        <v>85</v>
      </c>
      <c r="F89" s="50">
        <v>4134</v>
      </c>
      <c r="G89" s="1"/>
      <c r="H89" s="1"/>
      <c r="I89" s="1"/>
      <c r="J89" s="1"/>
    </row>
    <row r="90" spans="5:10" x14ac:dyDescent="0.25">
      <c r="E90" s="48">
        <v>86</v>
      </c>
      <c r="F90" s="50">
        <v>4158</v>
      </c>
      <c r="G90" s="1"/>
      <c r="H90" s="1"/>
      <c r="I90" s="1"/>
      <c r="J90" s="1"/>
    </row>
    <row r="91" spans="5:10" x14ac:dyDescent="0.25">
      <c r="E91" s="48">
        <v>87</v>
      </c>
      <c r="F91" s="50">
        <v>4155</v>
      </c>
      <c r="G91" s="1"/>
      <c r="H91" s="1"/>
      <c r="I91" s="1"/>
      <c r="J91" s="1"/>
    </row>
    <row r="92" spans="5:10" x14ac:dyDescent="0.25">
      <c r="E92" s="48">
        <v>88</v>
      </c>
      <c r="F92" s="50">
        <v>4107</v>
      </c>
      <c r="G92" s="1"/>
      <c r="H92" s="1"/>
      <c r="I92" s="1"/>
      <c r="J92" s="1"/>
    </row>
    <row r="93" spans="5:10" x14ac:dyDescent="0.25">
      <c r="E93" s="48">
        <v>89</v>
      </c>
      <c r="F93" s="50">
        <v>4218</v>
      </c>
      <c r="G93" s="1"/>
      <c r="H93" s="1"/>
      <c r="I93" s="1"/>
      <c r="J93" s="1"/>
    </row>
    <row r="94" spans="5:10" x14ac:dyDescent="0.25">
      <c r="E94" s="48">
        <v>90</v>
      </c>
      <c r="F94" s="50">
        <v>4059</v>
      </c>
      <c r="G94" s="1"/>
      <c r="H94" s="1"/>
      <c r="I94" s="1"/>
      <c r="J94" s="1"/>
    </row>
    <row r="95" spans="5:10" x14ac:dyDescent="0.25">
      <c r="E95" s="48">
        <v>91</v>
      </c>
      <c r="F95" s="50">
        <v>4141</v>
      </c>
      <c r="G95" s="1"/>
      <c r="H95" s="1"/>
      <c r="I95" s="1"/>
      <c r="J95" s="1"/>
    </row>
    <row r="96" spans="5:10" x14ac:dyDescent="0.25">
      <c r="E96" s="48">
        <v>92</v>
      </c>
      <c r="F96" s="50">
        <v>4283</v>
      </c>
      <c r="G96" s="1"/>
      <c r="H96" s="1"/>
      <c r="I96" s="1"/>
      <c r="J96" s="1"/>
    </row>
    <row r="97" spans="5:10" x14ac:dyDescent="0.25">
      <c r="E97" s="48">
        <v>93</v>
      </c>
      <c r="F97" s="50">
        <v>4067</v>
      </c>
      <c r="G97" s="1"/>
      <c r="H97" s="1"/>
      <c r="I97" s="1"/>
      <c r="J97" s="1"/>
    </row>
    <row r="98" spans="5:10" x14ac:dyDescent="0.25">
      <c r="E98" s="48">
        <v>94</v>
      </c>
      <c r="F98" s="50">
        <v>4103</v>
      </c>
      <c r="G98" s="1"/>
      <c r="H98" s="1"/>
      <c r="I98" s="1"/>
      <c r="J98" s="1"/>
    </row>
    <row r="99" spans="5:10" x14ac:dyDescent="0.25">
      <c r="E99" s="48">
        <v>95</v>
      </c>
      <c r="F99" s="50">
        <v>4149</v>
      </c>
      <c r="G99" s="1"/>
      <c r="H99" s="1"/>
      <c r="I99" s="1"/>
      <c r="J99" s="1"/>
    </row>
    <row r="100" spans="5:10" x14ac:dyDescent="0.25">
      <c r="E100" s="48">
        <v>96</v>
      </c>
      <c r="F100" s="50">
        <v>4076</v>
      </c>
      <c r="G100" s="1"/>
      <c r="H100" s="1"/>
      <c r="I100" s="1"/>
      <c r="J100" s="1"/>
    </row>
    <row r="101" spans="5:10" x14ac:dyDescent="0.25">
      <c r="E101" s="48">
        <v>97</v>
      </c>
      <c r="F101" s="50">
        <v>4193</v>
      </c>
      <c r="G101" s="1"/>
      <c r="H101" s="1"/>
      <c r="I101" s="1"/>
      <c r="J101" s="1"/>
    </row>
    <row r="102" spans="5:10" x14ac:dyDescent="0.25">
      <c r="E102" s="48">
        <v>98</v>
      </c>
      <c r="F102" s="50">
        <v>4136</v>
      </c>
      <c r="G102" s="1"/>
      <c r="H102" s="1"/>
      <c r="I102" s="1"/>
      <c r="J102" s="1"/>
    </row>
    <row r="103" spans="5:10" x14ac:dyDescent="0.25">
      <c r="E103" s="48">
        <v>99</v>
      </c>
      <c r="F103" s="50">
        <v>4157</v>
      </c>
      <c r="G103" s="1"/>
      <c r="H103" s="1"/>
      <c r="I103" s="1"/>
      <c r="J103" s="1"/>
    </row>
    <row r="104" spans="5:10" x14ac:dyDescent="0.25">
      <c r="E104" s="48">
        <v>100</v>
      </c>
      <c r="F104" s="49">
        <v>4181</v>
      </c>
      <c r="G104" s="1"/>
      <c r="H104" s="1"/>
      <c r="I104" s="1"/>
      <c r="J104" s="1"/>
    </row>
    <row r="105" spans="5:10" x14ac:dyDescent="0.25">
      <c r="F105" s="1"/>
      <c r="G105" s="1"/>
      <c r="H105" s="1"/>
      <c r="I105" s="1"/>
      <c r="J105" s="1"/>
    </row>
    <row r="106" spans="5:10" x14ac:dyDescent="0.25">
      <c r="F106" s="1"/>
      <c r="G106" s="1"/>
      <c r="H106" s="1"/>
      <c r="I106" s="1"/>
      <c r="J106" s="1"/>
    </row>
    <row r="107" spans="5:10" x14ac:dyDescent="0.25">
      <c r="F107" s="1"/>
      <c r="G107" s="1"/>
      <c r="H107" s="1"/>
      <c r="I107" s="1"/>
      <c r="J107" s="1"/>
    </row>
    <row r="108" spans="5:10" x14ac:dyDescent="0.25">
      <c r="F108" s="1"/>
      <c r="G108" s="1"/>
      <c r="H108" s="1"/>
      <c r="I108" s="1"/>
      <c r="J108" s="1"/>
    </row>
    <row r="109" spans="5:10" x14ac:dyDescent="0.25">
      <c r="F109" s="1"/>
      <c r="G109" s="1"/>
      <c r="H109" s="1"/>
      <c r="I109" s="1"/>
      <c r="J109" s="1"/>
    </row>
  </sheetData>
  <mergeCells count="6">
    <mergeCell ref="L4:L12"/>
    <mergeCell ref="N2:R2"/>
    <mergeCell ref="N1:Q1"/>
    <mergeCell ref="F3:J3"/>
    <mergeCell ref="G1:I1"/>
    <mergeCell ref="L1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7"/>
  <sheetViews>
    <sheetView tabSelected="1" topLeftCell="A36" workbookViewId="0">
      <selection activeCell="F33" sqref="F33"/>
    </sheetView>
  </sheetViews>
  <sheetFormatPr defaultRowHeight="15" x14ac:dyDescent="0.25"/>
  <cols>
    <col min="2" max="2" width="10.7109375" style="1" customWidth="1"/>
    <col min="3" max="3" width="12.85546875" style="26" customWidth="1"/>
  </cols>
  <sheetData>
    <row r="2" spans="2:3" x14ac:dyDescent="0.25">
      <c r="B2" s="42" t="s">
        <v>17</v>
      </c>
      <c r="C2" s="43"/>
    </row>
    <row r="3" spans="2:3" ht="15" customHeight="1" x14ac:dyDescent="0.25">
      <c r="B3" s="44" t="s">
        <v>18</v>
      </c>
      <c r="C3" s="45"/>
    </row>
    <row r="4" spans="2:3" ht="15" customHeight="1" x14ac:dyDescent="0.25">
      <c r="B4" s="13"/>
      <c r="C4" s="14"/>
    </row>
    <row r="5" spans="2:3" x14ac:dyDescent="0.25">
      <c r="B5" s="46" t="s">
        <v>19</v>
      </c>
      <c r="C5" s="47"/>
    </row>
    <row r="6" spans="2:3" ht="18" x14ac:dyDescent="0.25">
      <c r="B6" s="15" t="s">
        <v>20</v>
      </c>
      <c r="C6" s="16" t="s">
        <v>21</v>
      </c>
    </row>
    <row r="7" spans="2:3" ht="18.75" x14ac:dyDescent="0.25">
      <c r="B7" s="17" t="s">
        <v>22</v>
      </c>
      <c r="C7" s="18" t="s">
        <v>23</v>
      </c>
    </row>
    <row r="8" spans="2:3" x14ac:dyDescent="0.25">
      <c r="B8" s="19"/>
      <c r="C8" s="20"/>
    </row>
    <row r="9" spans="2:3" x14ac:dyDescent="0.25">
      <c r="B9" s="21">
        <v>1E-3</v>
      </c>
      <c r="C9" s="22">
        <v>1185</v>
      </c>
    </row>
    <row r="10" spans="2:3" x14ac:dyDescent="0.25">
      <c r="B10" s="21">
        <v>1.5E-3</v>
      </c>
      <c r="C10" s="22">
        <v>402.2</v>
      </c>
    </row>
    <row r="11" spans="2:3" x14ac:dyDescent="0.25">
      <c r="B11" s="21">
        <v>1.5596E-3</v>
      </c>
      <c r="C11" s="22">
        <v>362.1</v>
      </c>
    </row>
    <row r="12" spans="2:3" x14ac:dyDescent="0.25">
      <c r="B12" s="21">
        <v>1.5596E-3</v>
      </c>
      <c r="C12" s="22">
        <v>3957</v>
      </c>
    </row>
    <row r="13" spans="2:3" x14ac:dyDescent="0.25">
      <c r="B13" s="21">
        <v>2E-3</v>
      </c>
      <c r="C13" s="22">
        <v>2263</v>
      </c>
    </row>
    <row r="14" spans="2:3" x14ac:dyDescent="0.25">
      <c r="B14" s="21">
        <v>3.0000000000000001E-3</v>
      </c>
      <c r="C14" s="22">
        <v>788</v>
      </c>
    </row>
    <row r="15" spans="2:3" x14ac:dyDescent="0.25">
      <c r="B15" s="21">
        <v>4.0000000000000001E-3</v>
      </c>
      <c r="C15" s="22">
        <v>360.5</v>
      </c>
    </row>
    <row r="16" spans="2:3" x14ac:dyDescent="0.25">
      <c r="B16" s="21">
        <v>5.0000000000000001E-3</v>
      </c>
      <c r="C16" s="22">
        <v>193.4</v>
      </c>
    </row>
    <row r="17" spans="2:3" x14ac:dyDescent="0.25">
      <c r="B17" s="21">
        <v>6.0000000000000001E-3</v>
      </c>
      <c r="C17" s="22">
        <v>115.3</v>
      </c>
    </row>
    <row r="18" spans="2:3" x14ac:dyDescent="0.25">
      <c r="B18" s="21">
        <v>8.0000000000000002E-3</v>
      </c>
      <c r="C18" s="22">
        <v>50.33</v>
      </c>
    </row>
    <row r="19" spans="2:3" x14ac:dyDescent="0.25">
      <c r="B19" s="21">
        <v>0.01</v>
      </c>
      <c r="C19" s="22">
        <v>26.23</v>
      </c>
    </row>
    <row r="20" spans="2:3" x14ac:dyDescent="0.25">
      <c r="B20" s="21">
        <v>1.4999999999999999E-2</v>
      </c>
      <c r="C20" s="22">
        <v>7.9550000000000001</v>
      </c>
    </row>
    <row r="21" spans="2:3" x14ac:dyDescent="0.25">
      <c r="B21" s="21">
        <v>0.02</v>
      </c>
      <c r="C21" s="22">
        <v>3.4409999999999998</v>
      </c>
    </row>
    <row r="22" spans="2:3" x14ac:dyDescent="0.25">
      <c r="B22" s="21">
        <v>0.03</v>
      </c>
      <c r="C22" s="22">
        <v>1.1279999999999999</v>
      </c>
    </row>
    <row r="23" spans="2:3" x14ac:dyDescent="0.25">
      <c r="B23" s="21">
        <v>0.04</v>
      </c>
      <c r="C23" s="22">
        <v>0.56850000000000001</v>
      </c>
    </row>
    <row r="24" spans="2:3" x14ac:dyDescent="0.25">
      <c r="B24" s="21">
        <v>0.05</v>
      </c>
      <c r="C24" s="22">
        <v>0.36809999999999998</v>
      </c>
    </row>
    <row r="25" spans="2:3" x14ac:dyDescent="0.25">
      <c r="B25" s="21">
        <v>0.06</v>
      </c>
      <c r="C25" s="22">
        <v>0.27779999999999999</v>
      </c>
    </row>
    <row r="26" spans="2:3" x14ac:dyDescent="0.25">
      <c r="B26" s="21">
        <v>0.08</v>
      </c>
      <c r="C26" s="22">
        <v>0.20180000000000001</v>
      </c>
    </row>
    <row r="27" spans="2:3" x14ac:dyDescent="0.25">
      <c r="B27" s="21">
        <v>0.1</v>
      </c>
      <c r="C27" s="22">
        <v>0.1704</v>
      </c>
    </row>
    <row r="28" spans="2:3" x14ac:dyDescent="0.25">
      <c r="B28" s="21">
        <v>0.15</v>
      </c>
      <c r="C28" s="22">
        <v>0.13780000000000001</v>
      </c>
    </row>
    <row r="29" spans="2:3" x14ac:dyDescent="0.25">
      <c r="B29" s="21">
        <v>0.2</v>
      </c>
      <c r="C29" s="22">
        <v>0.12230000000000001</v>
      </c>
    </row>
    <row r="30" spans="2:3" x14ac:dyDescent="0.25">
      <c r="B30" s="21">
        <v>0.3</v>
      </c>
      <c r="C30" s="22">
        <v>0.1042</v>
      </c>
    </row>
    <row r="31" spans="2:3" x14ac:dyDescent="0.25">
      <c r="B31" s="21">
        <v>0.4</v>
      </c>
      <c r="C31" s="22">
        <v>9.2759999999999995E-2</v>
      </c>
    </row>
    <row r="32" spans="2:3" x14ac:dyDescent="0.25">
      <c r="B32" s="21">
        <v>0.5</v>
      </c>
      <c r="C32" s="22">
        <v>8.4449999999999997E-2</v>
      </c>
    </row>
    <row r="33" spans="2:5" x14ac:dyDescent="0.25">
      <c r="B33" s="21">
        <v>0.6</v>
      </c>
      <c r="C33" s="22">
        <v>7.8020000000000006E-2</v>
      </c>
    </row>
    <row r="34" spans="2:5" x14ac:dyDescent="0.25">
      <c r="B34" s="21">
        <v>0.8</v>
      </c>
      <c r="C34" s="22">
        <v>6.8409999999999999E-2</v>
      </c>
      <c r="E34" s="23"/>
    </row>
    <row r="35" spans="2:5" x14ac:dyDescent="0.25">
      <c r="B35" s="21">
        <v>1</v>
      </c>
      <c r="C35" s="22">
        <v>6.1460000000000001E-2</v>
      </c>
    </row>
    <row r="36" spans="2:5" x14ac:dyDescent="0.25">
      <c r="B36" s="21">
        <v>1.25</v>
      </c>
      <c r="C36" s="22">
        <v>5.4960000000000002E-2</v>
      </c>
    </row>
    <row r="37" spans="2:5" x14ac:dyDescent="0.25">
      <c r="B37" s="21">
        <v>1.5</v>
      </c>
      <c r="C37" s="22">
        <v>5.006E-2</v>
      </c>
    </row>
    <row r="38" spans="2:5" x14ac:dyDescent="0.25">
      <c r="B38" s="21">
        <v>2</v>
      </c>
      <c r="C38" s="22">
        <v>4.3240000000000001E-2</v>
      </c>
    </row>
    <row r="39" spans="2:5" x14ac:dyDescent="0.25">
      <c r="B39" s="21">
        <v>3</v>
      </c>
      <c r="C39" s="22">
        <v>3.5409999999999997E-2</v>
      </c>
    </row>
    <row r="40" spans="2:5" x14ac:dyDescent="0.25">
      <c r="B40" s="21">
        <v>4</v>
      </c>
      <c r="C40" s="22">
        <v>3.1060000000000001E-2</v>
      </c>
    </row>
    <row r="41" spans="2:5" x14ac:dyDescent="0.25">
      <c r="B41" s="21">
        <v>5</v>
      </c>
      <c r="C41" s="22">
        <v>2.836E-2</v>
      </c>
    </row>
    <row r="42" spans="2:5" x14ac:dyDescent="0.25">
      <c r="B42" s="21">
        <v>6</v>
      </c>
      <c r="C42" s="22">
        <v>2.6550000000000001E-2</v>
      </c>
    </row>
    <row r="43" spans="2:5" x14ac:dyDescent="0.25">
      <c r="B43" s="21">
        <v>8</v>
      </c>
      <c r="C43" s="22">
        <v>2.4369999999999999E-2</v>
      </c>
    </row>
    <row r="44" spans="2:5" x14ac:dyDescent="0.25">
      <c r="B44" s="21">
        <v>10</v>
      </c>
      <c r="C44" s="22">
        <v>2.3179999999999999E-2</v>
      </c>
    </row>
    <row r="45" spans="2:5" x14ac:dyDescent="0.25">
      <c r="B45" s="21">
        <v>15</v>
      </c>
      <c r="C45" s="22">
        <v>2.1950000000000001E-2</v>
      </c>
    </row>
    <row r="46" spans="2:5" x14ac:dyDescent="0.25">
      <c r="B46" s="21">
        <v>20</v>
      </c>
      <c r="C46" s="22">
        <v>2.1680000000000001E-2</v>
      </c>
    </row>
    <row r="47" spans="2:5" x14ac:dyDescent="0.25">
      <c r="B47" s="24"/>
      <c r="C47" s="25"/>
    </row>
  </sheetData>
  <mergeCells count="3">
    <mergeCell ref="B2:C2"/>
    <mergeCell ref="B3:C3"/>
    <mergeCell ref="B5:C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1 C x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H U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1 C x V C i K R 7 g O A A A A E Q A A A B M A H A B G b 3 J t d W x h c y 9 T Z W N 0 a W 9 u M S 5 t I K I Y A C i g F A A A A A A A A A A A A A A A A A A A A A A A A A A A A C t O T S 7 J z M 9 T C I b Q h t Y A U E s B A i 0 A F A A C A A g A h 1 C x V G R s f M W j A A A A 9 g A A A B I A A A A A A A A A A A A A A A A A A A A A A E N v b m Z p Z y 9 Q Y W N r Y W d l L n h t b F B L A Q I t A B Q A A g A I A I d Q s V Q P y u m r p A A A A O k A A A A T A A A A A A A A A A A A A A A A A O 8 A A A B b Q 2 9 u d G V u d F 9 U e X B l c 1 0 u e G 1 s U E s B A i 0 A F A A C A A g A h 1 C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/ i Z H i 0 C F O l Z z C b o t 0 e T A A A A A A A g A A A A A A E G Y A A A A B A A A g A A A A J Z q 1 k Q B n S A 5 q i i p O J X v t L V F Q g 3 7 z Q g l + K 6 / 6 8 U V 7 Y C U A A A A A D o A A A A A C A A A g A A A A 3 L o g e u y / E G j e h Z o m u f S B V R R 6 p h Z C 4 L F + 1 g s W t / j Q S 8 N Q A A A A o / z w / V K I u c k d j I x t 7 F 0 6 F x j X n y B e d h 0 p j + c a v 5 R 0 8 r A J x z s M n j e x C Q h 0 y D Q i u y Z I y l J u a q n Q Z r e Q + W E P Y 0 S 4 4 j a 1 u c q 6 s m 1 n 6 V C L A G D L J c B A A A A A E G c e w q x c w E 6 x + R d / H 9 c n 7 M 8 s O / c h g 9 4 J w x e e h 8 g L 5 Z B e b 8 d S s B 1 / M Q M R i k 7 i x L M X / 9 3 X p 7 u j m S o y 8 E r P i V / K J g = = < / D a t a M a s h u p > 
</file>

<file path=customXml/itemProps1.xml><?xml version="1.0" encoding="utf-8"?>
<ds:datastoreItem xmlns:ds="http://schemas.openxmlformats.org/officeDocument/2006/customXml" ds:itemID="{625F4A37-EC9E-48FE-8585-8E14D73FB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T7.1</vt:lpstr>
      <vt:lpstr>T7.2</vt:lpstr>
      <vt:lpstr>coef abs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Maísa</dc:creator>
  <cp:lastModifiedBy>Luis</cp:lastModifiedBy>
  <dcterms:created xsi:type="dcterms:W3CDTF">2022-05-17T08:59:24Z</dcterms:created>
  <dcterms:modified xsi:type="dcterms:W3CDTF">2023-07-27T10:30:24Z</dcterms:modified>
</cp:coreProperties>
</file>