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2.xml" ContentType="application/vnd.openxmlformats-officedocument.spreadsheetml.comments+xml"/>
  <Override PartName="/xl/tables/table16.xml" ContentType="application/vnd.openxmlformats-officedocument.spreadsheetml.table+xml"/>
  <Override PartName="/xl/comments3.xml" ContentType="application/vnd.openxmlformats-officedocument.spreadsheetml.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irac\Desktop\ACL REMODELO\ACL_REMODELO\"/>
    </mc:Choice>
  </mc:AlternateContent>
  <xr:revisionPtr revIDLastSave="0" documentId="8_{5FF8627D-57AC-48FE-BAF2-5B128A6FE4EB}" xr6:coauthVersionLast="47" xr6:coauthVersionMax="47" xr10:uidLastSave="{00000000-0000-0000-0000-000000000000}"/>
  <bookViews>
    <workbookView xWindow="-120" yWindow="-120" windowWidth="29040" windowHeight="15840" activeTab="2" xr2:uid="{ACCE4FE2-BBDF-4187-A78B-3A4B53A33861}"/>
  </bookViews>
  <sheets>
    <sheet name="ENDEREÇOS" sheetId="8" r:id="rId1"/>
    <sheet name="Sub Global" sheetId="15" r:id="rId2"/>
    <sheet name="IHM 00" sheetId="1" r:id="rId3"/>
    <sheet name="OP 0X" sheetId="2" r:id="rId4"/>
    <sheet name="TD 1X" sheetId="5" r:id="rId5"/>
    <sheet name="SCL" sheetId="16" r:id="rId6"/>
    <sheet name="SA 2X" sheetId="4" r:id="rId7"/>
    <sheet name="CC 3X" sheetId="3" r:id="rId8"/>
    <sheet name="TP 4X" sheetId="6" r:id="rId9"/>
    <sheet name="PF 5X" sheetId="7" r:id="rId10"/>
    <sheet name="Planilha1" sheetId="17" r:id="rId11"/>
    <sheet name="MT 6X" sheetId="10" r:id="rId12"/>
    <sheet name="IMP 7X" sheetId="14" r:id="rId1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I22" i="1"/>
  <c r="F21" i="1"/>
  <c r="G21" i="1"/>
  <c r="H21" i="1"/>
  <c r="I21" i="1"/>
  <c r="I37" i="1"/>
  <c r="I38" i="1"/>
  <c r="I35" i="1"/>
  <c r="I36" i="1"/>
  <c r="H37" i="1"/>
  <c r="G37" i="1"/>
  <c r="G38" i="1"/>
  <c r="G35" i="1"/>
  <c r="G36" i="1"/>
  <c r="H38" i="1"/>
  <c r="H35" i="1"/>
  <c r="H36" i="1"/>
  <c r="F37" i="1"/>
  <c r="F38" i="1"/>
  <c r="F35" i="1"/>
  <c r="F36" i="1"/>
  <c r="F31" i="1"/>
  <c r="F20" i="1"/>
  <c r="G20" i="1"/>
  <c r="H20" i="1"/>
  <c r="I20" i="1"/>
  <c r="F19" i="1"/>
  <c r="G19" i="1"/>
  <c r="H19" i="1"/>
  <c r="I19" i="1"/>
  <c r="F10" i="1"/>
  <c r="G10" i="1"/>
  <c r="H10" i="1"/>
  <c r="I10" i="1"/>
  <c r="F26" i="1"/>
  <c r="F27" i="1"/>
  <c r="F28" i="1"/>
  <c r="F29" i="1"/>
  <c r="F30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I36" i="2"/>
  <c r="I37" i="2"/>
  <c r="I38" i="2"/>
  <c r="I39" i="2"/>
  <c r="I40" i="2"/>
  <c r="I28" i="2"/>
  <c r="I29" i="2"/>
  <c r="I30" i="2"/>
  <c r="I31" i="2"/>
  <c r="I32" i="2"/>
  <c r="I20" i="2"/>
  <c r="I21" i="2"/>
  <c r="I22" i="2"/>
  <c r="I23" i="2"/>
  <c r="I24" i="2"/>
  <c r="I12" i="2"/>
  <c r="I13" i="2"/>
  <c r="I14" i="2"/>
  <c r="I15" i="2"/>
  <c r="I16" i="2"/>
  <c r="G36" i="2"/>
  <c r="G37" i="2"/>
  <c r="G38" i="2"/>
  <c r="G39" i="2"/>
  <c r="G40" i="2"/>
  <c r="H36" i="2"/>
  <c r="H37" i="2"/>
  <c r="H38" i="2"/>
  <c r="H39" i="2"/>
  <c r="H40" i="2"/>
  <c r="F36" i="2"/>
  <c r="F37" i="2"/>
  <c r="F38" i="2"/>
  <c r="F39" i="2"/>
  <c r="F40" i="2"/>
  <c r="C34" i="2"/>
  <c r="G28" i="2"/>
  <c r="G29" i="2"/>
  <c r="G30" i="2"/>
  <c r="G31" i="2"/>
  <c r="G32" i="2"/>
  <c r="C26" i="2"/>
  <c r="F28" i="2" s="1"/>
  <c r="G22" i="2"/>
  <c r="G20" i="2"/>
  <c r="G21" i="2"/>
  <c r="G23" i="2"/>
  <c r="G24" i="2"/>
  <c r="C18" i="2"/>
  <c r="F20" i="2" s="1"/>
  <c r="G12" i="2"/>
  <c r="G13" i="2"/>
  <c r="G14" i="2"/>
  <c r="G15" i="2"/>
  <c r="G16" i="2"/>
  <c r="C10" i="2"/>
  <c r="H12" i="2" s="1"/>
  <c r="H15" i="17"/>
  <c r="G15" i="17"/>
  <c r="G9" i="17"/>
  <c r="G3" i="17"/>
  <c r="G4" i="17"/>
  <c r="G5" i="17"/>
  <c r="G6" i="17"/>
  <c r="G7" i="17"/>
  <c r="G8" i="17"/>
  <c r="G17" i="17"/>
  <c r="G11" i="17"/>
  <c r="G12" i="17"/>
  <c r="G13" i="17"/>
  <c r="G14" i="17"/>
  <c r="G16" i="17"/>
  <c r="G10" i="17"/>
  <c r="H5" i="17"/>
  <c r="H6" i="17"/>
  <c r="H7" i="17"/>
  <c r="H8" i="17"/>
  <c r="H17" i="17"/>
  <c r="H11" i="17"/>
  <c r="H12" i="17"/>
  <c r="H13" i="17"/>
  <c r="H14" i="17"/>
  <c r="H16" i="17"/>
  <c r="H10" i="17"/>
  <c r="I5" i="17"/>
  <c r="I6" i="17"/>
  <c r="I7" i="17"/>
  <c r="I8" i="17"/>
  <c r="I17" i="17"/>
  <c r="I11" i="17"/>
  <c r="I12" i="17"/>
  <c r="I13" i="17"/>
  <c r="I14" i="17"/>
  <c r="I16" i="17"/>
  <c r="I10" i="17"/>
  <c r="J5" i="17"/>
  <c r="J6" i="17"/>
  <c r="J7" i="17"/>
  <c r="J8" i="17"/>
  <c r="J17" i="17"/>
  <c r="J11" i="17"/>
  <c r="J12" i="17"/>
  <c r="J13" i="17"/>
  <c r="J14" i="17"/>
  <c r="J16" i="17"/>
  <c r="J10" i="17"/>
  <c r="J4" i="17"/>
  <c r="H4" i="17"/>
  <c r="J3" i="17"/>
  <c r="H3" i="17"/>
  <c r="J9" i="17"/>
  <c r="H9" i="17"/>
  <c r="J15" i="17"/>
  <c r="I4" i="17"/>
  <c r="G26" i="1"/>
  <c r="G27" i="1"/>
  <c r="G28" i="1"/>
  <c r="G29" i="1"/>
  <c r="G30" i="1"/>
  <c r="G31" i="1"/>
  <c r="I26" i="1"/>
  <c r="C1" i="5"/>
  <c r="G10" i="5" s="1"/>
  <c r="C1" i="7"/>
  <c r="I3" i="7" s="1"/>
  <c r="G6" i="1"/>
  <c r="H6" i="1"/>
  <c r="I6" i="1"/>
  <c r="G5" i="2"/>
  <c r="I5" i="2"/>
  <c r="G4" i="2"/>
  <c r="I4" i="2"/>
  <c r="C2" i="2"/>
  <c r="H7" i="2" s="1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F1" i="16"/>
  <c r="L9" i="16" s="1"/>
  <c r="H23" i="4"/>
  <c r="J23" i="4"/>
  <c r="C1" i="4"/>
  <c r="G23" i="4" s="1"/>
  <c r="H6" i="4"/>
  <c r="J6" i="4"/>
  <c r="H5" i="4"/>
  <c r="J5" i="4"/>
  <c r="H15" i="4"/>
  <c r="J15" i="4"/>
  <c r="H14" i="4"/>
  <c r="J14" i="4"/>
  <c r="G12" i="10"/>
  <c r="H12" i="10"/>
  <c r="I12" i="10"/>
  <c r="J12" i="10"/>
  <c r="G11" i="10"/>
  <c r="H11" i="10"/>
  <c r="I11" i="10"/>
  <c r="J11" i="10"/>
  <c r="G10" i="10"/>
  <c r="H10" i="10"/>
  <c r="I10" i="10"/>
  <c r="J10" i="10"/>
  <c r="G4" i="10"/>
  <c r="H4" i="10"/>
  <c r="I4" i="10"/>
  <c r="J4" i="10"/>
  <c r="G3" i="10"/>
  <c r="H3" i="10"/>
  <c r="I3" i="10"/>
  <c r="J3" i="10"/>
  <c r="H3" i="4"/>
  <c r="J3" i="4"/>
  <c r="H21" i="4"/>
  <c r="J21" i="4"/>
  <c r="H22" i="4"/>
  <c r="J22" i="4"/>
  <c r="H16" i="4"/>
  <c r="J16" i="4"/>
  <c r="H17" i="4"/>
  <c r="J17" i="4"/>
  <c r="G5" i="1"/>
  <c r="H5" i="1"/>
  <c r="I5" i="1"/>
  <c r="G13" i="1"/>
  <c r="H13" i="1"/>
  <c r="I13" i="1"/>
  <c r="G4" i="1"/>
  <c r="H4" i="1"/>
  <c r="I4" i="1"/>
  <c r="G4" i="3"/>
  <c r="H4" i="3"/>
  <c r="I4" i="3"/>
  <c r="J4" i="3"/>
  <c r="G5" i="3"/>
  <c r="G6" i="3"/>
  <c r="H5" i="3"/>
  <c r="H6" i="3"/>
  <c r="I5" i="3"/>
  <c r="I6" i="3"/>
  <c r="J5" i="3"/>
  <c r="J6" i="3"/>
  <c r="I8" i="2"/>
  <c r="G8" i="2"/>
  <c r="I7" i="2"/>
  <c r="G7" i="2"/>
  <c r="I6" i="2"/>
  <c r="G6" i="2"/>
  <c r="J4" i="7"/>
  <c r="H4" i="7"/>
  <c r="J3" i="7"/>
  <c r="H3" i="7"/>
  <c r="J6" i="7"/>
  <c r="H6" i="7"/>
  <c r="J5" i="7"/>
  <c r="I5" i="7"/>
  <c r="H5" i="7"/>
  <c r="G9" i="1"/>
  <c r="H9" i="1"/>
  <c r="I9" i="1"/>
  <c r="H26" i="1"/>
  <c r="H27" i="1"/>
  <c r="H28" i="1"/>
  <c r="H29" i="1"/>
  <c r="H30" i="1"/>
  <c r="H31" i="1"/>
  <c r="I27" i="1"/>
  <c r="I28" i="1"/>
  <c r="I29" i="1"/>
  <c r="I30" i="1"/>
  <c r="I31" i="1"/>
  <c r="I18" i="1"/>
  <c r="H18" i="1"/>
  <c r="G18" i="1"/>
  <c r="I17" i="1"/>
  <c r="H17" i="1"/>
  <c r="G17" i="1"/>
  <c r="I16" i="1"/>
  <c r="H16" i="1"/>
  <c r="G16" i="1"/>
  <c r="I15" i="1"/>
  <c r="H15" i="1"/>
  <c r="G15" i="1"/>
  <c r="I12" i="1"/>
  <c r="H12" i="1"/>
  <c r="G12" i="1"/>
  <c r="I11" i="1"/>
  <c r="H11" i="1"/>
  <c r="G11" i="1"/>
  <c r="I8" i="1"/>
  <c r="H8" i="1"/>
  <c r="G8" i="1"/>
  <c r="I7" i="1"/>
  <c r="H7" i="1"/>
  <c r="G7" i="1"/>
  <c r="I14" i="1"/>
  <c r="H14" i="1"/>
  <c r="G14" i="1"/>
  <c r="G3" i="14"/>
  <c r="G4" i="14"/>
  <c r="J3" i="14"/>
  <c r="I3" i="14"/>
  <c r="H3" i="14"/>
  <c r="J4" i="14"/>
  <c r="I4" i="14"/>
  <c r="H4" i="14"/>
  <c r="J9" i="10"/>
  <c r="I9" i="10"/>
  <c r="H9" i="10"/>
  <c r="G9" i="10"/>
  <c r="J8" i="10"/>
  <c r="I8" i="10"/>
  <c r="H8" i="10"/>
  <c r="G8" i="10"/>
  <c r="J7" i="10"/>
  <c r="I7" i="10"/>
  <c r="H7" i="10"/>
  <c r="G7" i="10"/>
  <c r="J6" i="10"/>
  <c r="I6" i="10"/>
  <c r="H6" i="10"/>
  <c r="G6" i="10"/>
  <c r="J5" i="10"/>
  <c r="I5" i="10"/>
  <c r="H5" i="10"/>
  <c r="G5" i="10"/>
  <c r="G3" i="6"/>
  <c r="J20" i="6"/>
  <c r="I20" i="6"/>
  <c r="H20" i="6"/>
  <c r="G20" i="6"/>
  <c r="J19" i="6"/>
  <c r="I19" i="6"/>
  <c r="H19" i="6"/>
  <c r="G19" i="6"/>
  <c r="J18" i="6"/>
  <c r="I18" i="6"/>
  <c r="H18" i="6"/>
  <c r="G18" i="6"/>
  <c r="J17" i="6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3"/>
  <c r="G8" i="3"/>
  <c r="G7" i="3"/>
  <c r="G9" i="3"/>
  <c r="G10" i="3"/>
  <c r="G11" i="3"/>
  <c r="G12" i="3"/>
  <c r="G13" i="3"/>
  <c r="G14" i="3"/>
  <c r="G15" i="3"/>
  <c r="G16" i="3"/>
  <c r="G17" i="3"/>
  <c r="G21" i="3"/>
  <c r="G22" i="3"/>
  <c r="G20" i="3"/>
  <c r="G23" i="3"/>
  <c r="G19" i="3"/>
  <c r="G18" i="3"/>
  <c r="H17" i="3"/>
  <c r="I17" i="3"/>
  <c r="J17" i="3"/>
  <c r="H16" i="3"/>
  <c r="I16" i="3"/>
  <c r="J16" i="3"/>
  <c r="H15" i="3"/>
  <c r="I15" i="3"/>
  <c r="J15" i="3"/>
  <c r="H14" i="3"/>
  <c r="I14" i="3"/>
  <c r="J14" i="3"/>
  <c r="H18" i="3"/>
  <c r="I18" i="3"/>
  <c r="J18" i="3"/>
  <c r="H19" i="3"/>
  <c r="I19" i="3"/>
  <c r="J19" i="3"/>
  <c r="J3" i="5"/>
  <c r="J5" i="5"/>
  <c r="J4" i="5"/>
  <c r="J6" i="5"/>
  <c r="J7" i="5"/>
  <c r="J9" i="5"/>
  <c r="J8" i="5"/>
  <c r="J10" i="5"/>
  <c r="I3" i="5"/>
  <c r="I5" i="5"/>
  <c r="I4" i="5"/>
  <c r="I6" i="5"/>
  <c r="I7" i="5"/>
  <c r="I9" i="5"/>
  <c r="I8" i="5"/>
  <c r="I10" i="5"/>
  <c r="H3" i="5"/>
  <c r="H5" i="5"/>
  <c r="H4" i="5"/>
  <c r="H6" i="5"/>
  <c r="H7" i="5"/>
  <c r="H9" i="5"/>
  <c r="H8" i="5"/>
  <c r="H10" i="5"/>
  <c r="J4" i="4"/>
  <c r="J9" i="4"/>
  <c r="J8" i="4"/>
  <c r="J7" i="4"/>
  <c r="J12" i="4"/>
  <c r="J13" i="4"/>
  <c r="J10" i="4"/>
  <c r="J11" i="4"/>
  <c r="J19" i="4"/>
  <c r="J20" i="4"/>
  <c r="J18" i="4"/>
  <c r="H4" i="4"/>
  <c r="H9" i="4"/>
  <c r="H8" i="4"/>
  <c r="H7" i="4"/>
  <c r="H12" i="4"/>
  <c r="H13" i="4"/>
  <c r="H10" i="4"/>
  <c r="H11" i="4"/>
  <c r="H19" i="4"/>
  <c r="H20" i="4"/>
  <c r="H18" i="4"/>
  <c r="J3" i="3"/>
  <c r="J10" i="3"/>
  <c r="J11" i="3"/>
  <c r="J12" i="3"/>
  <c r="J13" i="3"/>
  <c r="J21" i="3"/>
  <c r="J8" i="3"/>
  <c r="J22" i="3"/>
  <c r="J7" i="3"/>
  <c r="J9" i="3"/>
  <c r="J20" i="3"/>
  <c r="J23" i="3"/>
  <c r="H3" i="3"/>
  <c r="H10" i="3"/>
  <c r="H11" i="3"/>
  <c r="H12" i="3"/>
  <c r="H13" i="3"/>
  <c r="H21" i="3"/>
  <c r="H8" i="3"/>
  <c r="H22" i="3"/>
  <c r="H7" i="3"/>
  <c r="H9" i="3"/>
  <c r="H20" i="3"/>
  <c r="H23" i="3"/>
  <c r="I3" i="3"/>
  <c r="I10" i="3"/>
  <c r="I11" i="3"/>
  <c r="I12" i="3"/>
  <c r="I13" i="3"/>
  <c r="I21" i="3"/>
  <c r="I8" i="3"/>
  <c r="I22" i="3"/>
  <c r="I7" i="3"/>
  <c r="I9" i="3"/>
  <c r="I20" i="3"/>
  <c r="I23" i="3"/>
  <c r="H23" i="2" l="1"/>
  <c r="H32" i="2"/>
  <c r="H28" i="2"/>
  <c r="H21" i="2"/>
  <c r="H30" i="2"/>
  <c r="H29" i="2"/>
  <c r="H31" i="2"/>
  <c r="F22" i="2"/>
  <c r="F31" i="2"/>
  <c r="F30" i="2"/>
  <c r="F29" i="2"/>
  <c r="F32" i="2"/>
  <c r="F16" i="2"/>
  <c r="F15" i="2"/>
  <c r="F14" i="2"/>
  <c r="H16" i="2"/>
  <c r="F13" i="2"/>
  <c r="H15" i="2"/>
  <c r="F12" i="2"/>
  <c r="H14" i="2"/>
  <c r="H13" i="2"/>
  <c r="F7" i="2"/>
  <c r="F5" i="2"/>
  <c r="F4" i="2"/>
  <c r="F8" i="2"/>
  <c r="F6" i="2"/>
  <c r="H24" i="2"/>
  <c r="F24" i="2"/>
  <c r="H22" i="2"/>
  <c r="F23" i="2"/>
  <c r="H20" i="2"/>
  <c r="F21" i="2"/>
  <c r="I3" i="17"/>
  <c r="I15" i="17"/>
  <c r="I9" i="17"/>
  <c r="G9" i="5"/>
  <c r="G8" i="5"/>
  <c r="G7" i="5"/>
  <c r="G6" i="5"/>
  <c r="G5" i="5"/>
  <c r="G4" i="5"/>
  <c r="G3" i="5"/>
  <c r="G4" i="7"/>
  <c r="G6" i="7"/>
  <c r="I6" i="7"/>
  <c r="G5" i="7"/>
  <c r="I4" i="7"/>
  <c r="G3" i="7"/>
  <c r="H4" i="2"/>
  <c r="H5" i="2"/>
  <c r="H8" i="2"/>
  <c r="H6" i="2"/>
  <c r="J18" i="16"/>
  <c r="J10" i="16"/>
  <c r="L15" i="16"/>
  <c r="J17" i="16"/>
  <c r="J9" i="16"/>
  <c r="L22" i="16"/>
  <c r="L14" i="16"/>
  <c r="L6" i="16"/>
  <c r="J11" i="16"/>
  <c r="L23" i="16"/>
  <c r="J16" i="16"/>
  <c r="L13" i="16"/>
  <c r="J23" i="16"/>
  <c r="J15" i="16"/>
  <c r="J7" i="16"/>
  <c r="L20" i="16"/>
  <c r="L12" i="16"/>
  <c r="L4" i="16"/>
  <c r="J19" i="16"/>
  <c r="J3" i="16"/>
  <c r="L16" i="16"/>
  <c r="L8" i="16"/>
  <c r="L7" i="16"/>
  <c r="J22" i="16"/>
  <c r="J14" i="16"/>
  <c r="J6" i="16"/>
  <c r="L19" i="16"/>
  <c r="L11" i="16"/>
  <c r="L3" i="16"/>
  <c r="J21" i="16"/>
  <c r="J13" i="16"/>
  <c r="J5" i="16"/>
  <c r="L18" i="16"/>
  <c r="L10" i="16"/>
  <c r="J8" i="16"/>
  <c r="L21" i="16"/>
  <c r="L5" i="16"/>
  <c r="J20" i="16"/>
  <c r="J12" i="16"/>
  <c r="J4" i="16"/>
  <c r="L17" i="16"/>
  <c r="I23" i="4"/>
  <c r="G13" i="4"/>
  <c r="G12" i="4"/>
  <c r="I20" i="4"/>
  <c r="I19" i="4"/>
  <c r="I16" i="4"/>
  <c r="I15" i="4"/>
  <c r="G7" i="4"/>
  <c r="I10" i="4"/>
  <c r="G18" i="4"/>
  <c r="G8" i="4"/>
  <c r="G16" i="4"/>
  <c r="G21" i="4"/>
  <c r="G15" i="4"/>
  <c r="I11" i="4"/>
  <c r="G9" i="4"/>
  <c r="I17" i="4"/>
  <c r="I22" i="4"/>
  <c r="I3" i="4"/>
  <c r="I14" i="4"/>
  <c r="I5" i="4"/>
  <c r="I13" i="4"/>
  <c r="G19" i="4"/>
  <c r="G4" i="4"/>
  <c r="I7" i="4"/>
  <c r="G11" i="4"/>
  <c r="I9" i="4"/>
  <c r="I21" i="4"/>
  <c r="I6" i="4"/>
  <c r="G20" i="4"/>
  <c r="I12" i="4"/>
  <c r="I18" i="4"/>
  <c r="I8" i="4"/>
  <c r="G10" i="4"/>
  <c r="I4" i="4"/>
  <c r="G17" i="4"/>
  <c r="G22" i="4"/>
  <c r="G3" i="4"/>
  <c r="G14" i="4"/>
  <c r="G5" i="4"/>
  <c r="G6" i="4"/>
  <c r="C13" i="8"/>
  <c r="E13" i="8" s="1"/>
  <c r="D13" i="8"/>
  <c r="C61" i="8"/>
  <c r="E61" i="8" s="1"/>
  <c r="C62" i="8"/>
  <c r="E62" i="8" s="1"/>
  <c r="D61" i="8"/>
  <c r="D62" i="8"/>
  <c r="C37" i="8"/>
  <c r="E37" i="8" s="1"/>
  <c r="D37" i="8"/>
  <c r="C16" i="8"/>
  <c r="E16" i="8" s="1"/>
  <c r="C17" i="8"/>
  <c r="E17" i="8" s="1"/>
  <c r="D16" i="8"/>
  <c r="D17" i="8"/>
  <c r="C59" i="8"/>
  <c r="E59" i="8" s="1"/>
  <c r="C60" i="8"/>
  <c r="E60" i="8" s="1"/>
  <c r="D59" i="8"/>
  <c r="D60" i="8"/>
  <c r="C36" i="8"/>
  <c r="E36" i="8" s="1"/>
  <c r="D36" i="8"/>
  <c r="C14" i="8"/>
  <c r="E14" i="8" s="1"/>
  <c r="C15" i="8"/>
  <c r="E15" i="8" s="1"/>
  <c r="D14" i="8"/>
  <c r="D15" i="8"/>
  <c r="D38" i="8"/>
  <c r="D39" i="8"/>
  <c r="D40" i="8"/>
  <c r="D41" i="8"/>
  <c r="D42" i="8"/>
  <c r="D5" i="8"/>
  <c r="D6" i="8"/>
  <c r="D43" i="8"/>
  <c r="D44" i="8"/>
  <c r="D45" i="8"/>
  <c r="D46" i="8"/>
  <c r="D47" i="8"/>
  <c r="D48" i="8"/>
  <c r="D18" i="8"/>
  <c r="D19" i="8"/>
  <c r="D3" i="8"/>
  <c r="D20" i="8"/>
  <c r="D21" i="8"/>
  <c r="D4" i="8"/>
  <c r="D22" i="8"/>
  <c r="D23" i="8"/>
  <c r="D49" i="8"/>
  <c r="D50" i="8"/>
  <c r="D24" i="8"/>
  <c r="D25" i="8"/>
  <c r="D51" i="8"/>
  <c r="D52" i="8"/>
  <c r="D26" i="8"/>
  <c r="D27" i="8"/>
  <c r="D28" i="8"/>
  <c r="D29" i="8"/>
  <c r="D53" i="8"/>
  <c r="D54" i="8"/>
  <c r="D55" i="8"/>
  <c r="D7" i="8"/>
  <c r="D8" i="8"/>
  <c r="D9" i="8"/>
  <c r="D30" i="8"/>
  <c r="D31" i="8"/>
  <c r="D32" i="8"/>
  <c r="D33" i="8"/>
  <c r="D56" i="8"/>
  <c r="D57" i="8"/>
  <c r="D58" i="8"/>
  <c r="D10" i="8"/>
  <c r="D11" i="8"/>
  <c r="D12" i="8"/>
  <c r="D34" i="8"/>
  <c r="D35" i="8"/>
  <c r="C38" i="8"/>
  <c r="E38" i="8" s="1"/>
  <c r="C39" i="8"/>
  <c r="E39" i="8" s="1"/>
  <c r="C40" i="8"/>
  <c r="E40" i="8" s="1"/>
  <c r="C41" i="8"/>
  <c r="E41" i="8" s="1"/>
  <c r="C42" i="8"/>
  <c r="E42" i="8" s="1"/>
  <c r="C5" i="8"/>
  <c r="E5" i="8" s="1"/>
  <c r="C6" i="8"/>
  <c r="E6" i="8" s="1"/>
  <c r="C43" i="8"/>
  <c r="E43" i="8" s="1"/>
  <c r="C44" i="8"/>
  <c r="E44" i="8" s="1"/>
  <c r="C45" i="8"/>
  <c r="E45" i="8" s="1"/>
  <c r="C46" i="8"/>
  <c r="E46" i="8" s="1"/>
  <c r="C47" i="8"/>
  <c r="E47" i="8" s="1"/>
  <c r="C48" i="8"/>
  <c r="E48" i="8" s="1"/>
  <c r="C18" i="8"/>
  <c r="E18" i="8" s="1"/>
  <c r="C19" i="8"/>
  <c r="E19" i="8" s="1"/>
  <c r="C3" i="8"/>
  <c r="E3" i="8" s="1"/>
  <c r="C20" i="8"/>
  <c r="E20" i="8" s="1"/>
  <c r="C21" i="8"/>
  <c r="E21" i="8" s="1"/>
  <c r="C4" i="8"/>
  <c r="E4" i="8" s="1"/>
  <c r="C22" i="8"/>
  <c r="E22" i="8" s="1"/>
  <c r="C23" i="8"/>
  <c r="E23" i="8" s="1"/>
  <c r="C49" i="8"/>
  <c r="E49" i="8" s="1"/>
  <c r="C50" i="8"/>
  <c r="E50" i="8" s="1"/>
  <c r="C24" i="8"/>
  <c r="E24" i="8" s="1"/>
  <c r="C25" i="8"/>
  <c r="E25" i="8" s="1"/>
  <c r="C51" i="8"/>
  <c r="E51" i="8" s="1"/>
  <c r="C52" i="8"/>
  <c r="E52" i="8" s="1"/>
  <c r="C26" i="8"/>
  <c r="E26" i="8" s="1"/>
  <c r="C27" i="8"/>
  <c r="E27" i="8" s="1"/>
  <c r="C28" i="8"/>
  <c r="E28" i="8" s="1"/>
  <c r="C29" i="8"/>
  <c r="E29" i="8" s="1"/>
  <c r="C53" i="8"/>
  <c r="E53" i="8" s="1"/>
  <c r="C54" i="8"/>
  <c r="E54" i="8" s="1"/>
  <c r="C55" i="8"/>
  <c r="E55" i="8" s="1"/>
  <c r="C7" i="8"/>
  <c r="E7" i="8" s="1"/>
  <c r="C8" i="8"/>
  <c r="E8" i="8" s="1"/>
  <c r="C9" i="8"/>
  <c r="E9" i="8" s="1"/>
  <c r="C30" i="8"/>
  <c r="E30" i="8" s="1"/>
  <c r="C31" i="8"/>
  <c r="E31" i="8" s="1"/>
  <c r="C32" i="8"/>
  <c r="E32" i="8" s="1"/>
  <c r="C33" i="8"/>
  <c r="E33" i="8" s="1"/>
  <c r="C56" i="8"/>
  <c r="E56" i="8" s="1"/>
  <c r="C57" i="8"/>
  <c r="E57" i="8" s="1"/>
  <c r="C58" i="8"/>
  <c r="E58" i="8" s="1"/>
  <c r="C10" i="8"/>
  <c r="E10" i="8" s="1"/>
  <c r="C11" i="8"/>
  <c r="E11" i="8" s="1"/>
  <c r="C12" i="8"/>
  <c r="E12" i="8" s="1"/>
  <c r="C34" i="8"/>
  <c r="E34" i="8" s="1"/>
  <c r="C35" i="8"/>
  <c r="E3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oliveirac</author>
  </authors>
  <commentList>
    <comment ref="B1" authorId="0" shapeId="0" xr:uid="{7DA79F79-9146-4E07-B862-63C6E7B03AD4}">
      <text>
        <r>
          <rPr>
            <b/>
            <sz val="9"/>
            <color indexed="81"/>
            <rFont val="Segoe UI"/>
            <charset val="1"/>
          </rPr>
          <t>oliveirac:</t>
        </r>
        <r>
          <rPr>
            <sz val="9"/>
            <color indexed="81"/>
            <rFont val="Segoe UI"/>
            <charset val="1"/>
          </rPr>
          <t xml:space="preserve">
11-19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oliveirac</author>
  </authors>
  <commentList>
    <comment ref="B1" authorId="0" shapeId="0" xr:uid="{725A8450-957E-4901-B388-4B16208EE2AD}">
      <text>
        <r>
          <rPr>
            <b/>
            <sz val="9"/>
            <color indexed="81"/>
            <rFont val="Segoe UI"/>
            <charset val="1"/>
          </rPr>
          <t>oliveirac:</t>
        </r>
        <r>
          <rPr>
            <sz val="9"/>
            <color indexed="81"/>
            <rFont val="Segoe UI"/>
            <charset val="1"/>
          </rPr>
          <t xml:space="preserve">
51-59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oliveirac</author>
  </authors>
  <commentList>
    <comment ref="B1" authorId="0" shapeId="0" xr:uid="{A3750084-B9C1-4DBE-98F1-7312A3C14973}">
      <text>
        <r>
          <rPr>
            <b/>
            <sz val="9"/>
            <color indexed="81"/>
            <rFont val="Segoe UI"/>
            <charset val="1"/>
          </rPr>
          <t>oliveirac:</t>
        </r>
        <r>
          <rPr>
            <sz val="9"/>
            <color indexed="81"/>
            <rFont val="Segoe UI"/>
            <charset val="1"/>
          </rPr>
          <t xml:space="preserve">
51-59</t>
        </r>
      </text>
    </comment>
  </commentList>
</comments>
</file>

<file path=xl/sharedStrings.xml><?xml version="1.0" encoding="utf-8"?>
<sst xmlns="http://schemas.openxmlformats.org/spreadsheetml/2006/main" count="1067" uniqueCount="337">
  <si>
    <t>TAG</t>
  </si>
  <si>
    <t>ED</t>
  </si>
  <si>
    <t>B|N</t>
  </si>
  <si>
    <t>R|W</t>
  </si>
  <si>
    <t>MB</t>
  </si>
  <si>
    <t>OP20_SV</t>
  </si>
  <si>
    <t>000021</t>
  </si>
  <si>
    <t>OP30_SV</t>
  </si>
  <si>
    <t>000031</t>
  </si>
  <si>
    <t>IHM_DP_LB</t>
  </si>
  <si>
    <t>005001</t>
  </si>
  <si>
    <t>IHM_AL_RS</t>
  </si>
  <si>
    <t>005002</t>
  </si>
  <si>
    <t>SA1_ZR</t>
  </si>
  <si>
    <t>005211</t>
  </si>
  <si>
    <t>SA1_TT</t>
  </si>
  <si>
    <t>005212</t>
  </si>
  <si>
    <t>SA1_CLB</t>
  </si>
  <si>
    <t>005213</t>
  </si>
  <si>
    <t>CC1_ZR</t>
  </si>
  <si>
    <t>005311</t>
  </si>
  <si>
    <t>CC1_TT</t>
  </si>
  <si>
    <t>005312</t>
  </si>
  <si>
    <t>CC1_CLB</t>
  </si>
  <si>
    <t>005313</t>
  </si>
  <si>
    <t>MV1_OFF</t>
  </si>
  <si>
    <t>005610</t>
  </si>
  <si>
    <t>MV1_X1</t>
  </si>
  <si>
    <t>005611</t>
  </si>
  <si>
    <t>MV1_X2</t>
  </si>
  <si>
    <t>005612</t>
  </si>
  <si>
    <t>MV1_Y1</t>
  </si>
  <si>
    <t>005621</t>
  </si>
  <si>
    <t>MV1_Y2</t>
  </si>
  <si>
    <t>005622</t>
  </si>
  <si>
    <t>OP20_STP</t>
  </si>
  <si>
    <t>400021</t>
  </si>
  <si>
    <t>OP20_PD</t>
  </si>
  <si>
    <t>400022</t>
  </si>
  <si>
    <t>OP30_STP</t>
  </si>
  <si>
    <t>400031</t>
  </si>
  <si>
    <t>OP30_PD</t>
  </si>
  <si>
    <t>400032</t>
  </si>
  <si>
    <t>TD1_SN</t>
  </si>
  <si>
    <t>400111</t>
  </si>
  <si>
    <t>TD1_PKS</t>
  </si>
  <si>
    <t>400112</t>
  </si>
  <si>
    <t>TD2_SN</t>
  </si>
  <si>
    <t>400121</t>
  </si>
  <si>
    <t>TD2_PKS</t>
  </si>
  <si>
    <t>400122</t>
  </si>
  <si>
    <t>SA1_AI</t>
  </si>
  <si>
    <t>400211</t>
  </si>
  <si>
    <t>SA1_SN</t>
  </si>
  <si>
    <t>400212</t>
  </si>
  <si>
    <t>SA1_PKE</t>
  </si>
  <si>
    <t>400213</t>
  </si>
  <si>
    <t>SA1_PKS</t>
  </si>
  <si>
    <t>400214</t>
  </si>
  <si>
    <t>CC1_AI</t>
  </si>
  <si>
    <t>400311</t>
  </si>
  <si>
    <t>CC1_SN</t>
  </si>
  <si>
    <t>400312</t>
  </si>
  <si>
    <t>CC1_PKE</t>
  </si>
  <si>
    <t>400313</t>
  </si>
  <si>
    <t>CC1_PKS</t>
  </si>
  <si>
    <t>400314</t>
  </si>
  <si>
    <t>PF1_NM</t>
  </si>
  <si>
    <t>400511</t>
  </si>
  <si>
    <t>PF1_TK</t>
  </si>
  <si>
    <t>400512</t>
  </si>
  <si>
    <t>MV1_DX</t>
  </si>
  <si>
    <t>400611</t>
  </si>
  <si>
    <t>MV1_DY</t>
  </si>
  <si>
    <t>400621</t>
  </si>
  <si>
    <t>IHM_MD</t>
  </si>
  <si>
    <t>405001</t>
  </si>
  <si>
    <t>IHM_OP1</t>
  </si>
  <si>
    <t>405002</t>
  </si>
  <si>
    <t>IHM_OP2</t>
  </si>
  <si>
    <t>405003</t>
  </si>
  <si>
    <t>IHM_ID</t>
  </si>
  <si>
    <t>405004</t>
  </si>
  <si>
    <t>IHM_PD_AV</t>
  </si>
  <si>
    <t>405005</t>
  </si>
  <si>
    <t>DT_AA</t>
  </si>
  <si>
    <t>405011</t>
  </si>
  <si>
    <t>DT_MM</t>
  </si>
  <si>
    <t>405012</t>
  </si>
  <si>
    <t>DT_DD</t>
  </si>
  <si>
    <t>405013</t>
  </si>
  <si>
    <t>TM_HH</t>
  </si>
  <si>
    <t>405014</t>
  </si>
  <si>
    <t>TM_MM</t>
  </si>
  <si>
    <t>405015</t>
  </si>
  <si>
    <t>TM_SS</t>
  </si>
  <si>
    <t>405016</t>
  </si>
  <si>
    <t>TD1_MN</t>
  </si>
  <si>
    <t>405111</t>
  </si>
  <si>
    <t>TD1_MX</t>
  </si>
  <si>
    <t>405112</t>
  </si>
  <si>
    <t>TD2_MN</t>
  </si>
  <si>
    <t>405121</t>
  </si>
  <si>
    <t>TD2_MX</t>
  </si>
  <si>
    <t>405122</t>
  </si>
  <si>
    <t>SA1_MD</t>
  </si>
  <si>
    <t>405211</t>
  </si>
  <si>
    <t>SA1_MN</t>
  </si>
  <si>
    <t>405212</t>
  </si>
  <si>
    <t>SA1_MX</t>
  </si>
  <si>
    <t>405213</t>
  </si>
  <si>
    <t>CC1_MD</t>
  </si>
  <si>
    <t>405311</t>
  </si>
  <si>
    <t>CC1_MN</t>
  </si>
  <si>
    <t>405312</t>
  </si>
  <si>
    <t>CC1_MX</t>
  </si>
  <si>
    <t>405313</t>
  </si>
  <si>
    <t>MV1_DX_MN</t>
  </si>
  <si>
    <t>405611</t>
  </si>
  <si>
    <t>MV1_DX_MX</t>
  </si>
  <si>
    <t>405612</t>
  </si>
  <si>
    <t>MV1_DY_MN</t>
  </si>
  <si>
    <t>405621</t>
  </si>
  <si>
    <t>MV1_DY_MX</t>
  </si>
  <si>
    <t>405622</t>
  </si>
  <si>
    <t>EV</t>
  </si>
  <si>
    <t>N</t>
  </si>
  <si>
    <t>IHM</t>
  </si>
  <si>
    <t>DispositivoLibera</t>
  </si>
  <si>
    <t>W</t>
  </si>
  <si>
    <t>AlarmeReset</t>
  </si>
  <si>
    <t>AlarmeNumero</t>
  </si>
  <si>
    <t>R</t>
  </si>
  <si>
    <t>Modelo</t>
  </si>
  <si>
    <t>Ordem1</t>
  </si>
  <si>
    <t>Ordem2</t>
  </si>
  <si>
    <t>Operador</t>
  </si>
  <si>
    <t>ProducaoAlvo</t>
  </si>
  <si>
    <t>01</t>
  </si>
  <si>
    <t>TG</t>
  </si>
  <si>
    <t>TG CLP</t>
  </si>
  <si>
    <t>MB CLP</t>
  </si>
  <si>
    <t>TG IHM</t>
  </si>
  <si>
    <t>MB IHM</t>
  </si>
  <si>
    <t>Descrição</t>
  </si>
  <si>
    <t>MN</t>
  </si>
  <si>
    <t>SV</t>
  </si>
  <si>
    <t>Salvar</t>
  </si>
  <si>
    <t>MOD</t>
  </si>
  <si>
    <t>Inteira</t>
  </si>
  <si>
    <t>D</t>
  </si>
  <si>
    <t>-</t>
  </si>
  <si>
    <t>CLB</t>
  </si>
  <si>
    <t>Calibrar</t>
  </si>
  <si>
    <t>Booleana</t>
  </si>
  <si>
    <t>Calibra valores para o modelo</t>
  </si>
  <si>
    <t>TT</t>
  </si>
  <si>
    <t>Testar</t>
  </si>
  <si>
    <t>Aciona teste</t>
  </si>
  <si>
    <t>SN</t>
  </si>
  <si>
    <t>Sensor</t>
  </si>
  <si>
    <t>Valor em tempo real</t>
  </si>
  <si>
    <t>Salva se e somente se calibra</t>
  </si>
  <si>
    <t>VR</t>
  </si>
  <si>
    <t>Variacao</t>
  </si>
  <si>
    <t>Valor da variação</t>
  </si>
  <si>
    <t>MX</t>
  </si>
  <si>
    <t>Maximo</t>
  </si>
  <si>
    <t>Valor máximo de setpoint</t>
  </si>
  <si>
    <t>Minimo</t>
  </si>
  <si>
    <t>Valor mínimo de setpoint</t>
  </si>
  <si>
    <t>TM</t>
  </si>
  <si>
    <t>Tempo</t>
  </si>
  <si>
    <t>Tempo de teste</t>
  </si>
  <si>
    <t>SA1</t>
  </si>
  <si>
    <t>ZR</t>
  </si>
  <si>
    <t>Zerar</t>
  </si>
  <si>
    <t>AI</t>
  </si>
  <si>
    <t>SensorEntrada</t>
  </si>
  <si>
    <t>SensorSaida</t>
  </si>
  <si>
    <t>PKE</t>
  </si>
  <si>
    <t>PicoEntrada</t>
  </si>
  <si>
    <t>PKS</t>
  </si>
  <si>
    <t>PicoSaida</t>
  </si>
  <si>
    <t>MED</t>
  </si>
  <si>
    <t>Medido</t>
  </si>
  <si>
    <t>CC1</t>
  </si>
  <si>
    <t>CLP</t>
  </si>
  <si>
    <t>TP1</t>
  </si>
  <si>
    <t>PF1</t>
  </si>
  <si>
    <t>NM</t>
  </si>
  <si>
    <t>TK</t>
  </si>
  <si>
    <t>PF2</t>
  </si>
  <si>
    <t>OFF</t>
  </si>
  <si>
    <t>X1</t>
  </si>
  <si>
    <t>X2</t>
  </si>
  <si>
    <t>Y1</t>
  </si>
  <si>
    <t>Y2</t>
  </si>
  <si>
    <t>DL</t>
  </si>
  <si>
    <t>DA</t>
  </si>
  <si>
    <t>DeslocamentoLinear</t>
  </si>
  <si>
    <t>DeslocamentoAngular</t>
  </si>
  <si>
    <t>EntradaMinima</t>
  </si>
  <si>
    <t>EntradaMaxima</t>
  </si>
  <si>
    <t>Emin</t>
  </si>
  <si>
    <t>Emax</t>
  </si>
  <si>
    <t>SaidaMinima</t>
  </si>
  <si>
    <t>SaidaMaxima</t>
  </si>
  <si>
    <t>Smin</t>
  </si>
  <si>
    <t>Smax</t>
  </si>
  <si>
    <t>Desliga</t>
  </si>
  <si>
    <t>Cima</t>
  </si>
  <si>
    <t>Baixo</t>
  </si>
  <si>
    <t>Esquesda</t>
  </si>
  <si>
    <t>Direita</t>
  </si>
  <si>
    <t>MT1</t>
  </si>
  <si>
    <t>LB</t>
  </si>
  <si>
    <t>ProducaoAtual</t>
  </si>
  <si>
    <t>Imprime</t>
  </si>
  <si>
    <t>IMP</t>
  </si>
  <si>
    <t>Numero</t>
  </si>
  <si>
    <t>Torque</t>
  </si>
  <si>
    <t>RT</t>
  </si>
  <si>
    <t>Libera</t>
  </si>
  <si>
    <t>Retorno</t>
  </si>
  <si>
    <t>OP20</t>
  </si>
  <si>
    <t>Producao</t>
  </si>
  <si>
    <t>OP50</t>
  </si>
  <si>
    <t>TD2</t>
  </si>
  <si>
    <t>Aprovado</t>
  </si>
  <si>
    <t>Reprovado</t>
  </si>
  <si>
    <t>AP</t>
  </si>
  <si>
    <t>RP</t>
  </si>
  <si>
    <t>Senha</t>
  </si>
  <si>
    <t>String</t>
  </si>
  <si>
    <t>Tipo</t>
  </si>
  <si>
    <t>Ordem</t>
  </si>
  <si>
    <t>OP</t>
  </si>
  <si>
    <t>EMN</t>
  </si>
  <si>
    <t>EMX</t>
  </si>
  <si>
    <t>SMN</t>
  </si>
  <si>
    <t>SMX</t>
  </si>
  <si>
    <t>M1</t>
  </si>
  <si>
    <t>M2</t>
  </si>
  <si>
    <t>Motor1</t>
  </si>
  <si>
    <t>Motor2</t>
  </si>
  <si>
    <t>00</t>
  </si>
  <si>
    <t>IMP1</t>
  </si>
  <si>
    <t>AT</t>
  </si>
  <si>
    <t>Imprimir</t>
  </si>
  <si>
    <t>Quantidade</t>
  </si>
  <si>
    <t>KC</t>
  </si>
  <si>
    <t>KX</t>
  </si>
  <si>
    <t>KY</t>
  </si>
  <si>
    <t>KComun</t>
  </si>
  <si>
    <t>OP60_TT_AP</t>
  </si>
  <si>
    <t>OP60_TT_RP</t>
  </si>
  <si>
    <t>OP60</t>
  </si>
  <si>
    <t>TD1</t>
  </si>
  <si>
    <t>AuxProd</t>
  </si>
  <si>
    <t>bAlarme</t>
  </si>
  <si>
    <t>bAtualizar_Historico</t>
  </si>
  <si>
    <t>bImprimirHistorico</t>
  </si>
  <si>
    <t>CLP_ENDERECO</t>
  </si>
  <si>
    <t>nBTSinoticos</t>
  </si>
  <si>
    <t>nButtonColor</t>
  </si>
  <si>
    <t>nOpColor</t>
  </si>
  <si>
    <t>OP30</t>
  </si>
  <si>
    <t>OP40</t>
  </si>
  <si>
    <t>PF2_TK</t>
  </si>
  <si>
    <t>PF3</t>
  </si>
  <si>
    <t>PF3_TK</t>
  </si>
  <si>
    <t>sCrachaUsuario</t>
  </si>
  <si>
    <t>sCriarUsuárioStatus</t>
  </si>
  <si>
    <t>sFiltroDataFinal</t>
  </si>
  <si>
    <t>sFiltroDataInicial</t>
  </si>
  <si>
    <t>sGrupoUsuario</t>
  </si>
  <si>
    <t>sNome</t>
  </si>
  <si>
    <t>sNomeTela</t>
  </si>
  <si>
    <t>sNomeUsuario</t>
  </si>
  <si>
    <t>sSenhaUsuario</t>
  </si>
  <si>
    <t>VIS_INICIAR</t>
  </si>
  <si>
    <t>TD</t>
  </si>
  <si>
    <t>10</t>
  </si>
  <si>
    <t>20</t>
  </si>
  <si>
    <t>30</t>
  </si>
  <si>
    <t>40</t>
  </si>
  <si>
    <t>50</t>
  </si>
  <si>
    <t>60</t>
  </si>
  <si>
    <t>70</t>
  </si>
  <si>
    <t>80</t>
  </si>
  <si>
    <t>90</t>
  </si>
  <si>
    <t>SA</t>
  </si>
  <si>
    <t>CC</t>
  </si>
  <si>
    <t>TP</t>
  </si>
  <si>
    <t>PF</t>
  </si>
  <si>
    <t>MT</t>
  </si>
  <si>
    <t>Coluna1</t>
  </si>
  <si>
    <t>AJ</t>
  </si>
  <si>
    <t>OPS</t>
  </si>
  <si>
    <t>AJS</t>
  </si>
  <si>
    <t>04</t>
  </si>
  <si>
    <t>Passo</t>
  </si>
  <si>
    <t>TrackNumber</t>
  </si>
  <si>
    <t>03</t>
  </si>
  <si>
    <t>02</t>
  </si>
  <si>
    <t>05</t>
  </si>
  <si>
    <t>06</t>
  </si>
  <si>
    <t>n2</t>
  </si>
  <si>
    <t>Start</t>
  </si>
  <si>
    <t>AlarmNumber</t>
  </si>
  <si>
    <t>ProductionCurrent</t>
  </si>
  <si>
    <t>Type</t>
  </si>
  <si>
    <t>Model</t>
  </si>
  <si>
    <t>UserID</t>
  </si>
  <si>
    <t>OrderA</t>
  </si>
  <si>
    <t>OrderB</t>
  </si>
  <si>
    <t>ProductionGoal</t>
  </si>
  <si>
    <t>ReworkGoal</t>
  </si>
  <si>
    <t>RepositionGoal</t>
  </si>
  <si>
    <t>Goal</t>
  </si>
  <si>
    <t>Deviation</t>
  </si>
  <si>
    <t>Code</t>
  </si>
  <si>
    <t>FinalDate</t>
  </si>
  <si>
    <t>Year</t>
  </si>
  <si>
    <t>Month</t>
  </si>
  <si>
    <t>Day</t>
  </si>
  <si>
    <t>Hour</t>
  </si>
  <si>
    <t>Minute</t>
  </si>
  <si>
    <t>Second</t>
  </si>
  <si>
    <t>Password</t>
  </si>
  <si>
    <t>ProductionOrder</t>
  </si>
  <si>
    <t>Save</t>
  </si>
  <si>
    <t>DeviceRelease</t>
  </si>
  <si>
    <t>btPrint</t>
  </si>
  <si>
    <t>Q</t>
  </si>
  <si>
    <t>ZGS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</si>
</sst>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9" fillId="6" borderId="0" applyNumberFormat="0" applyBorder="0" applyAlignment="0" applyProtection="0"/>
  </cellStyleXfs>
  <cellXfs count="4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quotePrefix="1" applyFont="1"/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2" borderId="1" xfId="0" quotePrefix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quotePrefix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quotePrefix="1" applyNumberFormat="1" applyAlignment="1">
      <alignment horizontal="left" vertical="center"/>
    </xf>
    <xf numFmtId="0" fontId="4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4" fillId="0" borderId="0" xfId="1" quotePrefix="1" applyFont="1" applyFill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/>
    <xf numFmtId="0" fontId="6" fillId="5" borderId="2" xfId="2" quotePrefix="1"/>
    <xf numFmtId="0" fontId="6" fillId="5" borderId="2" xfId="2" quotePrefix="1" applyAlignment="1">
      <alignment vertical="center"/>
    </xf>
    <xf numFmtId="0" fontId="6" fillId="5" borderId="2" xfId="2" applyAlignment="1">
      <alignment vertical="center"/>
    </xf>
    <xf numFmtId="0" fontId="9" fillId="6" borderId="0" xfId="3" applyAlignment="1">
      <alignment horizontal="left" vertical="center"/>
    </xf>
    <xf numFmtId="0" fontId="9" fillId="6" borderId="0" xfId="3" applyNumberFormat="1" applyAlignment="1">
      <alignment horizontal="left" vertical="center"/>
    </xf>
  </cellXfs>
  <cellStyles count="4">
    <cellStyle name="Bom" xfId="3" builtinId="26"/>
    <cellStyle name="Entrada" xfId="2" builtinId="20"/>
    <cellStyle name="Neutro" xfId="1" builtinId="28"/>
    <cellStyle name="Normal" xfId="0" builtinId="0"/>
  </cellStyles>
  <dxfs count="246"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alignment horizontal="left" vertical="center" textRotation="0" wrapText="0" indent="0" justifyLastLine="0" shrinkToFit="0" readingOrder="0"/>
    </dxf>
    <dxf>
      <font>
        <sz val="12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z val="12"/>
      </font>
      <alignment horizontal="left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F592B4-A7ED-4F3E-9129-B9153F0E20E9}" name="Tabela10" displayName="Tabela10" ref="B2:F62" totalsRowShown="0" headerRowDxfId="241" dataDxfId="240">
  <autoFilter ref="B2:F62" xr:uid="{98640AEC-24D6-454F-8B42-5C10732EA350}"/>
  <sortState xmlns:xlrd2="http://schemas.microsoft.com/office/spreadsheetml/2017/richdata2" ref="B3:F62">
    <sortCondition ref="F2:F62"/>
  </sortState>
  <tableColumns count="5">
    <tableColumn id="1" xr3:uid="{D762C9D3-F816-488B-90BE-FE2C677641AC}" name="TAG" dataDxfId="239"/>
    <tableColumn id="3" xr3:uid="{67FC1D74-A27E-4C0E-939B-39F43942CAD1}" name="ED" dataDxfId="238">
      <calculatedColumnFormula>RIGHT(Tabela10[[#This Row],[MB]],4)</calculatedColumnFormula>
    </tableColumn>
    <tableColumn id="5" xr3:uid="{1FE65D51-6140-442F-9A93-2D86CA18F765}" name="B|N" dataDxfId="237">
      <calculatedColumnFormula>LEFT(Tabela10[[#This Row],[MB]],2)</calculatedColumnFormula>
    </tableColumn>
    <tableColumn id="4" xr3:uid="{AA66CC52-43CB-4E56-A2A0-5155CC6E1DE9}" name="R|W" dataDxfId="236">
      <calculatedColumnFormula>LEFT(Tabela10[[#This Row],[ED]])</calculatedColumnFormula>
    </tableColumn>
    <tableColumn id="2" xr3:uid="{25855FE3-93D8-4687-A5EF-8BC074DD1411}" name="MB" dataDxfId="235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DDCE54-F2C8-4BA9-B6C9-BE2E30C6BFBD}" name="Tabela8" displayName="Tabela8" ref="B2:L10" totalsRowShown="0" headerRowDxfId="125" dataDxfId="123" headerRowBorderDxfId="124" tableBorderDxfId="122">
  <autoFilter ref="B2:L10" xr:uid="{CF85C72F-0F68-4430-807E-2D471500E9B0}"/>
  <sortState xmlns:xlrd2="http://schemas.microsoft.com/office/spreadsheetml/2017/richdata2" ref="B3:K10">
    <sortCondition ref="H2:H10"/>
  </sortState>
  <tableColumns count="11">
    <tableColumn id="12" xr3:uid="{68BF56B2-BAA0-49D7-B8D2-8B2545DB9044}" name="TG" dataDxfId="121"/>
    <tableColumn id="3" xr3:uid="{49B5BFBB-4244-403C-A050-08FB6D0A187F}" name="EV" dataDxfId="120"/>
    <tableColumn id="4" xr3:uid="{209CE555-DEF3-44FD-AE04-78DF23445C8B}" name="B|N" dataDxfId="119"/>
    <tableColumn id="5" xr3:uid="{A38E48A6-7509-44BE-B395-C56C8D2B6CCB}" name="R|W" dataDxfId="118"/>
    <tableColumn id="6" xr3:uid="{921F9318-CDFF-42BE-B68A-8163622147B8}" name="N" dataDxfId="117"/>
    <tableColumn id="7" xr3:uid="{0C5C954F-460C-4446-B8B0-D7C7564C62B2}" name="TG CLP" dataDxfId="116">
      <calculatedColumnFormula>CONCATENATE("IHM_",$C$1,"_",Tabela8[[#This Row],[TG]])</calculatedColumnFormula>
    </tableColumn>
    <tableColumn id="8" xr3:uid="{882292A3-4178-4B9A-824A-C481003F7C54}" name="MB CLP" dataDxfId="115">
      <calculatedColumnFormula>IF(Tabela8[[#This Row],[R|W]]="D","-",CONCATENATE(IF(Tabela8[[#This Row],[B|N]]="Inteira","40","00"),IF(Tabela8[[#This Row],[R|W]]="W","5","0"),$B$1,Tabela8[[#This Row],[N]]))</calculatedColumnFormula>
    </tableColumn>
    <tableColumn id="9" xr3:uid="{A0CE0E0F-8277-4E25-ADD4-126DC4AF675A}" name="TG IHM" dataDxfId="114">
      <calculatedColumnFormula>CONCATENATE($C$1,".",Tabela8[[#This Row],[EV]])</calculatedColumnFormula>
    </tableColumn>
    <tableColumn id="11" xr3:uid="{1B81BEB6-F537-440E-947F-4929464D9920}" name="MB IHM" dataDxfId="113">
      <calculatedColumnFormula>IF(Tabela8[[#This Row],[R|W]]="D","-",CONCATENATE(IF(Tabela8[[#This Row],[R|W]]="W","5","0"),$B$1,Tabela8[[#This Row],[N]]))</calculatedColumnFormula>
    </tableColumn>
    <tableColumn id="10" xr3:uid="{E70FC8C9-8924-40B5-9316-5F5D41F96AE6}" name="Descrição" dataDxfId="112"/>
    <tableColumn id="1" xr3:uid="{EB9B44D3-0D4E-4E2B-8809-1B506F0D30D5}" name="Coluna1" dataDxfId="111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F835A-0891-46EB-A217-DFAEBD25E0E7}" name="Tabela72" displayName="Tabela72" ref="E2:N23" totalsRowShown="0" headerRowDxfId="109" dataDxfId="107" headerRowBorderDxfId="108" tableBorderDxfId="106">
  <autoFilter ref="E2:N23" xr:uid="{69AF835A-0891-46EB-A217-DFAEBD25E0E7}"/>
  <sortState xmlns:xlrd2="http://schemas.microsoft.com/office/spreadsheetml/2017/richdata2" ref="E3:N11">
    <sortCondition ref="K2:K23"/>
  </sortState>
  <tableColumns count="10">
    <tableColumn id="12" xr3:uid="{0A7A9773-C76B-4C7D-9C2E-376B7E851673}" name="TG" dataDxfId="105"/>
    <tableColumn id="3" xr3:uid="{8B541A05-C81E-4726-B519-27512A2DEB7D}" name="EV" dataDxfId="104"/>
    <tableColumn id="4" xr3:uid="{76075376-FE56-4E10-A609-92F3D4C1C4DA}" name="B|N" dataDxfId="103"/>
    <tableColumn id="5" xr3:uid="{6DC85BF5-1037-4361-8EA5-075971AE518E}" name="R|W" dataDxfId="102"/>
    <tableColumn id="6" xr3:uid="{96D739C5-7E97-4CD2-A9A5-83A76FE1A4FB}" name="N" dataDxfId="101"/>
    <tableColumn id="7" xr3:uid="{5D278FB9-5821-4979-8443-E1922BD5F27C}" name="TG CLP" dataDxfId="100">
      <calculatedColumnFormula>CONCATENATE("IHM_",$F$1,"_",Tabela72[[#This Row],[TG]])</calculatedColumnFormula>
    </tableColumn>
    <tableColumn id="8" xr3:uid="{CDB3B517-E407-4679-B740-3284E946985E}" name="MB CLP" dataDxfId="99">
      <calculatedColumnFormula>IF(Tabela72[[#This Row],[R|W]]="D","-",CONCATENATE(IF(Tabela72[[#This Row],[B|N]]="Inteira","40","00"),IF(Tabela72[[#This Row],[R|W]]="W","5","0"),$E$1,Tabela72[[#This Row],[N]]))</calculatedColumnFormula>
    </tableColumn>
    <tableColumn id="10" xr3:uid="{364ACF0B-ADC6-4BF3-941B-130A2012E72A}" name="TG IHM" dataDxfId="98">
      <calculatedColumnFormula>CONCATENATE($F$1,".",F3)</calculatedColumnFormula>
    </tableColumn>
    <tableColumn id="11" xr3:uid="{2C60E45A-4F3A-4513-9C04-ED3F0F6C123F}" name="MB IHM" dataDxfId="97">
      <calculatedColumnFormula>IF(Tabela72[[#This Row],[R|W]]="D","-",CONCATENATE(IF(Tabela72[[#This Row],[R|W]]="W","5","0"),$E$1,Tabela72[[#This Row],[N]]))</calculatedColumnFormula>
    </tableColumn>
    <tableColumn id="1" xr3:uid="{01FE6E74-B150-45FE-94A1-6312855D37BA}" name="Coluna1" dataDxfId="96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41884D-8A56-4F2A-9974-1EC032D4BD05}" name="Tabela7" displayName="Tabela7" ref="B2:K23" totalsRowShown="0" headerRowDxfId="95" dataDxfId="93" headerRowBorderDxfId="94" tableBorderDxfId="92">
  <autoFilter ref="B2:K23" xr:uid="{57204A81-CF48-4D54-96AB-54FBD123DF9E}"/>
  <sortState xmlns:xlrd2="http://schemas.microsoft.com/office/spreadsheetml/2017/richdata2" ref="B3:K23">
    <sortCondition ref="H2:H23"/>
  </sortState>
  <tableColumns count="10">
    <tableColumn id="12" xr3:uid="{C423B671-324F-4FA6-89CD-38F7E588C29A}" name="TG" dataDxfId="91"/>
    <tableColumn id="3" xr3:uid="{120A3E2B-E452-4BFC-9634-BC4B7564E6E6}" name="EV" dataDxfId="90"/>
    <tableColumn id="4" xr3:uid="{42EBF6D4-E2C5-4F1D-9D90-7E6177C7449E}" name="B|N" dataDxfId="89"/>
    <tableColumn id="5" xr3:uid="{3A5147EB-CF8A-4527-B186-B686FA1BFDBC}" name="R|W" dataDxfId="88"/>
    <tableColumn id="6" xr3:uid="{13651D3E-F9C9-4002-8059-AABA6AFEDBAC}" name="N" dataDxfId="87"/>
    <tableColumn id="7" xr3:uid="{0F4F7CE5-5BC7-4A78-A9E3-FC316A7FBC75}" name="TG CLP" dataDxfId="86">
      <calculatedColumnFormula>CONCATENATE("IHM_",$C$1,"_",Tabela7[[#This Row],[TG]])</calculatedColumnFormula>
    </tableColumn>
    <tableColumn id="8" xr3:uid="{EE5C7C5C-9E82-420F-8E3E-E7713F669031}" name="MB CLP" dataDxfId="85">
      <calculatedColumnFormula>IF(Tabela7[[#This Row],[R|W]]="D","-",CONCATENATE(IF(Tabela7[[#This Row],[B|N]]="Inteira","40","00"),IF(Tabela7[[#This Row],[R|W]]="W","5","0"),$B$1,Tabela7[[#This Row],[N]]))</calculatedColumnFormula>
    </tableColumn>
    <tableColumn id="10" xr3:uid="{D0D65132-CE04-48D6-BD94-F90EE550E1B5}" name="TG IHM" dataDxfId="84">
      <calculatedColumnFormula>CONCATENATE($C$1,".",C3)</calculatedColumnFormula>
    </tableColumn>
    <tableColumn id="11" xr3:uid="{8AD9BEBB-600B-4601-A287-52F6C1A54A10}" name="MB IHM" dataDxfId="83">
      <calculatedColumnFormula>IF(Tabela7[[#This Row],[R|W]]="D","-",CONCATENATE(IF(Tabela7[[#This Row],[R|W]]="W","5","0"),$B$1,Tabela7[[#This Row],[N]]))</calculatedColumnFormula>
    </tableColumn>
    <tableColumn id="1" xr3:uid="{FA383A73-830F-4DC2-8087-23D112B9014D}" name="Coluna1" dataDxfId="82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8ADCBF-A78A-4CD8-8BF8-ABFB6F589E40}" name="Tabela6" displayName="Tabela6" ref="B2:J23" totalsRowShown="0" headerRowDxfId="81" dataDxfId="79" headerRowBorderDxfId="80" tableBorderDxfId="78">
  <autoFilter ref="B2:J23" xr:uid="{7F23E679-4627-4CB0-8144-34C6EE7855D6}"/>
  <sortState xmlns:xlrd2="http://schemas.microsoft.com/office/spreadsheetml/2017/richdata2" ref="B18:J23">
    <sortCondition ref="C2:C23"/>
  </sortState>
  <tableColumns count="9">
    <tableColumn id="11" xr3:uid="{2DF6AAF5-F66C-4E85-A0DB-17CF0F77D0C4}" name="CLP" dataDxfId="77"/>
    <tableColumn id="3" xr3:uid="{FC5675C0-7693-4C88-A653-1C98B47D1BAE}" name="EV" dataDxfId="76"/>
    <tableColumn id="4" xr3:uid="{F3169105-439C-49C2-B20C-712181E9E1F1}" name="B|N" dataDxfId="75"/>
    <tableColumn id="5" xr3:uid="{1F0B400E-4E7B-46E4-B85E-93578CA525BD}" name="R|W" dataDxfId="74"/>
    <tableColumn id="6" xr3:uid="{73DC50F0-9952-4406-973C-E3A246EA36A2}" name="N" dataDxfId="73"/>
    <tableColumn id="7" xr3:uid="{C199E2B8-E95D-43D6-9788-1F46F4AAAB65}" name="TAG" dataDxfId="72">
      <calculatedColumnFormula>CONCATENATE("IHM_",$C$1,"_",Tabela6[[#This Row],[CLP]])</calculatedColumnFormula>
    </tableColumn>
    <tableColumn id="8" xr3:uid="{BE866749-ECB0-49D1-9E5F-CCC6231D275E}" name="MB CLP" dataDxfId="71">
      <calculatedColumnFormula>IF(Tabela6[[#This Row],[R|W]]="D","-",CONCATENATE(IF(Tabela6[[#This Row],[B|N]]="Inteira","40","00"),IF(Tabela6[[#This Row],[R|W]]="W","5","0"),$B$1,Tabela6[[#This Row],[N]]))</calculatedColumnFormula>
    </tableColumn>
    <tableColumn id="9" xr3:uid="{F7C47A6F-7DD8-4999-9731-F5BC76B112BA}" name="TG IHM" dataDxfId="70">
      <calculatedColumnFormula>CONCATENATE($C$1,".",Tabela6[[#This Row],[EV]])</calculatedColumnFormula>
    </tableColumn>
    <tableColumn id="10" xr3:uid="{1B7041BE-E732-4AB5-B138-FE6399A435C5}" name="MB IHM" dataDxfId="69">
      <calculatedColumnFormula>IF(Tabela6[[#This Row],[R|W]]="D","-",CONCATENATE(IF(Tabela6[[#This Row],[R|W]]="W","5","0"),$B$1,Tabela6[[#This Row],[N]]))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D63628-83FC-4C20-B169-FC71A280897B}" name="Tabela613" displayName="Tabela613" ref="B2:J20" totalsRowShown="0" headerRowDxfId="68" dataDxfId="66" headerRowBorderDxfId="67" tableBorderDxfId="65">
  <autoFilter ref="B2:J20" xr:uid="{28D63628-83FC-4C20-B169-FC71A280897B}"/>
  <sortState xmlns:xlrd2="http://schemas.microsoft.com/office/spreadsheetml/2017/richdata2" ref="B3:J20">
    <sortCondition ref="H2:H20"/>
  </sortState>
  <tableColumns count="9">
    <tableColumn id="11" xr3:uid="{97F490E6-81B5-4D88-8CE8-FDBAEDD41DE3}" name="CLP" dataDxfId="64"/>
    <tableColumn id="3" xr3:uid="{490411F8-5837-4CBC-8AB8-313E0ADB474B}" name="EV" dataDxfId="63"/>
    <tableColumn id="4" xr3:uid="{47328072-CA0D-4D3B-8A38-3C180A6B6D22}" name="B|N" dataDxfId="62"/>
    <tableColumn id="5" xr3:uid="{D7EC5D06-0429-4946-9624-EBA36A435528}" name="R|W" dataDxfId="61"/>
    <tableColumn id="6" xr3:uid="{43A8490F-F570-4C9F-82F6-90BB73A6CCFA}" name="N" dataDxfId="60"/>
    <tableColumn id="7" xr3:uid="{811B9D40-70D3-4DCF-8E70-715C0E54266D}" name="TAG" dataDxfId="59">
      <calculatedColumnFormula>CONCATENATE("IHM_",$C$1,"_",Tabela613[[#This Row],[CLP]])</calculatedColumnFormula>
    </tableColumn>
    <tableColumn id="8" xr3:uid="{4726367C-0242-44DC-B3AF-38F34897D230}" name="MB CLP" dataDxfId="58">
      <calculatedColumnFormula>IF(Tabela613[[#This Row],[R|W]]="D","-",CONCATENATE(IF(Tabela613[[#This Row],[B|N]]="Inteira","40","00"),IF(Tabela613[[#This Row],[R|W]]="W","5","0"),$B$1,Tabela613[[#This Row],[N]]))</calculatedColumnFormula>
    </tableColumn>
    <tableColumn id="9" xr3:uid="{6953E17D-5EBC-491D-B8B6-476203DC330B}" name="TG IHM" dataDxfId="57">
      <calculatedColumnFormula>CONCATENATE($C$1,".",Tabela613[[#This Row],[EV]])</calculatedColumnFormula>
    </tableColumn>
    <tableColumn id="10" xr3:uid="{DAA3AB42-5704-40FE-AAE0-8CD4435FE2C9}" name="MB IHM" dataDxfId="56">
      <calculatedColumnFormula>IF(Tabela613[[#This Row],[R|W]]="D","-",CONCATENATE(IF(Tabela613[[#This Row],[R|W]]="W","5","0"),$B$1,Tabela613[[#This Row],[N]]))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A899953-BF96-45B4-BBE9-1B02C84036C7}" name="Tabela8151720" displayName="Tabela8151720" ref="B2:K6" totalsRowShown="0" headerRowDxfId="55" dataDxfId="53" headerRowBorderDxfId="54" tableBorderDxfId="52">
  <autoFilter ref="B2:K6" xr:uid="{FA899953-BF96-45B4-BBE9-1B02C84036C7}"/>
  <sortState xmlns:xlrd2="http://schemas.microsoft.com/office/spreadsheetml/2017/richdata2" ref="B3:K6">
    <sortCondition ref="H2:H6"/>
  </sortState>
  <tableColumns count="10">
    <tableColumn id="12" xr3:uid="{89511B78-0897-45C0-AD20-D892650070B8}" name="TG" dataDxfId="51"/>
    <tableColumn id="3" xr3:uid="{5E2A6C8C-1DD9-4BA1-9FF0-F16F6F8423FE}" name="EV" dataDxfId="50"/>
    <tableColumn id="4" xr3:uid="{159FAFD7-6890-4334-B996-597836CE5BDB}" name="B|N" dataDxfId="49"/>
    <tableColumn id="5" xr3:uid="{346C03DA-D8CB-42CA-BDD1-64D097B0FD8E}" name="R|W" dataDxfId="48"/>
    <tableColumn id="6" xr3:uid="{C51C63BB-01AB-4B79-879B-9036BE9E17E5}" name="N" dataDxfId="47"/>
    <tableColumn id="7" xr3:uid="{56D6AC78-6511-4AC2-A99F-983A56C76FAA}" name="TG CLP" dataDxfId="46">
      <calculatedColumnFormula>CONCATENATE($C$1,"_",Tabela8151720[[#This Row],[TG]])</calculatedColumnFormula>
    </tableColumn>
    <tableColumn id="8" xr3:uid="{0BDCF540-466E-4058-B5B7-70C49FD68498}" name="MB CLP" dataDxfId="45">
      <calculatedColumnFormula>IF(Tabela8151720[[#This Row],[R|W]]="D","-",CONCATENATE(IF(Tabela8151720[[#This Row],[B|N]]="Inteira","40","00"),IF(Tabela8151720[[#This Row],[R|W]]="W","5","0"),$B$1,Tabela8151720[[#This Row],[N]]))</calculatedColumnFormula>
    </tableColumn>
    <tableColumn id="9" xr3:uid="{19B4D9B3-7113-4D40-9B20-5B0EF345BE97}" name="TG IHM" dataDxfId="44">
      <calculatedColumnFormula>CONCATENATE($C$1,".",Tabela8151720[[#This Row],[EV]])</calculatedColumnFormula>
    </tableColumn>
    <tableColumn id="11" xr3:uid="{BC6B375D-B2A7-4402-A0C6-6DAC64F4E57B}" name="MB IHM" dataDxfId="43">
      <calculatedColumnFormula>IF(Tabela8151720[[#This Row],[R|W]]="D","-",CONCATENATE(IF(Tabela8151720[[#This Row],[R|W]]="W","5","0"),$B$1,Tabela8151720[[#This Row],[N]]))</calculatedColumnFormula>
    </tableColumn>
    <tableColumn id="10" xr3:uid="{F8D2E00F-47B8-458D-9E87-6028FCF42E00}" name="Descrição" dataDxfId="42"/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F098AF-B564-44F4-A9D0-13EA0C3F7A25}" name="Tabela81517203" displayName="Tabela81517203" ref="B2:K17" totalsRowShown="0" headerRowDxfId="41" dataDxfId="39" headerRowBorderDxfId="40" tableBorderDxfId="38">
  <autoFilter ref="B2:K17" xr:uid="{FFF098AF-B564-44F4-A9D0-13EA0C3F7A25}">
    <filterColumn colId="2">
      <filters>
        <filter val="Inteira"/>
      </filters>
    </filterColumn>
    <filterColumn colId="6">
      <filters>
        <filter val="000001"/>
        <filter val="005001"/>
        <filter val="005002"/>
        <filter val="005003"/>
        <filter val="400001"/>
        <filter val="400002"/>
        <filter val="400003"/>
        <filter val="405001"/>
        <filter val="405002"/>
        <filter val="405003"/>
        <filter val="405004"/>
        <filter val="405005"/>
        <filter val="405006"/>
      </filters>
    </filterColumn>
  </autoFilter>
  <sortState xmlns:xlrd2="http://schemas.microsoft.com/office/spreadsheetml/2017/richdata2" ref="B3:K17">
    <sortCondition ref="H2:H17"/>
  </sortState>
  <tableColumns count="10">
    <tableColumn id="12" xr3:uid="{33E819CD-C8FC-4C9D-A3DE-7F6127EF6388}" name="TG" dataDxfId="37"/>
    <tableColumn id="3" xr3:uid="{FF9C3947-B66E-478E-8A4A-22969AF17B66}" name="EV" dataDxfId="36"/>
    <tableColumn id="4" xr3:uid="{95F5C2D7-B6F2-4DC2-9655-644F860FF5B5}" name="B|N" dataDxfId="35"/>
    <tableColumn id="5" xr3:uid="{7E5D5212-8A98-4EEC-9618-BEAA9CE5FCF0}" name="R|W" dataDxfId="34"/>
    <tableColumn id="6" xr3:uid="{0429277F-E724-414F-BE5E-B6AE4EC207AF}" name="N" dataDxfId="33"/>
    <tableColumn id="7" xr3:uid="{62D7A312-12DC-4A66-8389-95A20D39F8B5}" name="TG CLP" dataDxfId="32">
      <calculatedColumnFormula>CONCATENATE($C$1,"_",Tabela81517203[[#This Row],[EV]])</calculatedColumnFormula>
    </tableColumn>
    <tableColumn id="8" xr3:uid="{24FFCED6-1905-4296-99DF-7DF8752AD8BF}" name="MB CLP" dataDxfId="31">
      <calculatedColumnFormula>IF(Tabela81517203[[#This Row],[R|W]]="D","-",CONCATENATE(IF(Tabela81517203[[#This Row],[B|N]]="Inteira","40","00"),IF(Tabela81517203[[#This Row],[R|W]]="W","5","0"),$B$1,Tabela81517203[[#This Row],[N]]))</calculatedColumnFormula>
    </tableColumn>
    <tableColumn id="9" xr3:uid="{2C4F7729-0C94-454E-80AA-A6D71699B486}" name="TG IHM" dataDxfId="30">
      <calculatedColumnFormula>CONCATENATE($C$1,".",Tabela81517203[[#This Row],[EV]])</calculatedColumnFormula>
    </tableColumn>
    <tableColumn id="11" xr3:uid="{90C1958E-AA23-4790-A129-5EAB86D93ABF}" name="MB IHM" dataDxfId="29">
      <calculatedColumnFormula>IF(Tabela81517203[[#This Row],[R|W]]="D","-",CONCATENATE(IF(Tabela81517203[[#This Row],[R|W]]="W","5","0"),$B$1,Tabela81517203[[#This Row],[N]]))</calculatedColumnFormula>
    </tableColumn>
    <tableColumn id="10" xr3:uid="{DEAE1762-8896-4264-A34A-77EB76E64730}" name="Descrição" dataDxfId="28"/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5295CD-7082-458E-9401-9609F80E32FE}" name="Tabela815" displayName="Tabela815" ref="B2:K12" totalsRowShown="0" headerRowDxfId="27" dataDxfId="25" headerRowBorderDxfId="26" tableBorderDxfId="24">
  <autoFilter ref="B2:K12" xr:uid="{865295CD-7082-458E-9401-9609F80E32FE}"/>
  <sortState xmlns:xlrd2="http://schemas.microsoft.com/office/spreadsheetml/2017/richdata2" ref="B3:K9">
    <sortCondition ref="H2:H9"/>
  </sortState>
  <tableColumns count="10">
    <tableColumn id="12" xr3:uid="{84FDFF6B-B3C2-4CE5-B9C8-BF4D93DE50DF}" name="TG" dataDxfId="23"/>
    <tableColumn id="3" xr3:uid="{70145E7A-49BE-4697-998D-C37C6F206BD1}" name="EV" dataDxfId="22"/>
    <tableColumn id="4" xr3:uid="{CA52ABA4-4D2D-4FCA-B154-ACFC20A6FE5B}" name="B|N" dataDxfId="21"/>
    <tableColumn id="5" xr3:uid="{2E894E82-D966-428A-B2ED-C93ED760F927}" name="R|W" dataDxfId="20"/>
    <tableColumn id="6" xr3:uid="{0CC376F9-D7BE-4831-9B90-FE33E526DA5A}" name="N" dataDxfId="19"/>
    <tableColumn id="7" xr3:uid="{A8EFE91B-C5A6-45CD-94C3-6618E7D4A577}" name="TG CLP" dataDxfId="18">
      <calculatedColumnFormula>CONCATENATE("IHM_",$C$1,"_",Tabela815[[#This Row],[TG]])</calculatedColumnFormula>
    </tableColumn>
    <tableColumn id="8" xr3:uid="{F989F54C-341C-4037-9C36-0AEBBE555AA6}" name="MB CLP" dataDxfId="17">
      <calculatedColumnFormula>IF(Tabela815[[#This Row],[R|W]]="D","-",CONCATENATE(IF(Tabela815[[#This Row],[B|N]]="Inteira","40","00"),IF(Tabela815[[#This Row],[R|W]]="W","5","0"),$B$1,Tabela815[[#This Row],[N]]))</calculatedColumnFormula>
    </tableColumn>
    <tableColumn id="9" xr3:uid="{3860427E-13A9-4AE4-A3C9-93CCC370460A}" name="TG IHM" dataDxfId="16">
      <calculatedColumnFormula>CONCATENATE($C$1,".",Tabela815[[#This Row],[EV]])</calculatedColumnFormula>
    </tableColumn>
    <tableColumn id="11" xr3:uid="{C051E382-43D6-480D-A3A9-00F29A06A72D}" name="MB IHM" dataDxfId="15">
      <calculatedColumnFormula>IF(Tabela815[[#This Row],[R|W]]="D","-",CONCATENATE(IF(Tabela815[[#This Row],[R|W]]="W","5","0"),$B$1,Tabela815[[#This Row],[N]]))</calculatedColumnFormula>
    </tableColumn>
    <tableColumn id="10" xr3:uid="{98AFA6F3-9A95-4278-AC1E-F53F9BFB7D6E}" name="Descrição" dataDxfId="14"/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4DD242-55CE-45E0-BD62-7CC5CCC0E6CE}" name="Tabela81517" displayName="Tabela81517" ref="B2:K4" totalsRowShown="0" headerRowDxfId="13" dataDxfId="11" headerRowBorderDxfId="12" tableBorderDxfId="10">
  <autoFilter ref="B2:K4" xr:uid="{DD4DD242-55CE-45E0-BD62-7CC5CCC0E6CE}"/>
  <sortState xmlns:xlrd2="http://schemas.microsoft.com/office/spreadsheetml/2017/richdata2" ref="B3:K4">
    <sortCondition ref="H2:H4"/>
  </sortState>
  <tableColumns count="10">
    <tableColumn id="12" xr3:uid="{A32CE7B6-605B-4695-B3ED-20800B5EE22E}" name="TG" dataDxfId="9"/>
    <tableColumn id="3" xr3:uid="{9B49E3AD-B697-4178-8D3B-85E9D96818B7}" name="EV" dataDxfId="8"/>
    <tableColumn id="4" xr3:uid="{80979EDA-8373-4759-81B6-22D733EE0CFC}" name="B|N" dataDxfId="7"/>
    <tableColumn id="5" xr3:uid="{C415936B-D275-4A4C-8A09-99FE8796F9CC}" name="R|W" dataDxfId="6"/>
    <tableColumn id="6" xr3:uid="{A71F559D-4526-405F-8C93-0DB9D6CA2CBC}" name="N" dataDxfId="5"/>
    <tableColumn id="7" xr3:uid="{D1CFA5F1-9615-40DE-8DE1-CA9391E54327}" name="TG CLP" dataDxfId="4">
      <calculatedColumnFormula>CONCATENATE($C$1,"_",Tabela81517[[#This Row],[TG]])</calculatedColumnFormula>
    </tableColumn>
    <tableColumn id="8" xr3:uid="{46A15C33-B623-411C-A8A1-866FBCFBAEE3}" name="MB CLP" dataDxfId="3">
      <calculatedColumnFormula>IF(Tabela81517[[#This Row],[R|W]]="D","-",CONCATENATE(IF(Tabela81517[[#This Row],[B|N]]="Inteira","40","00"),IF(Tabela81517[[#This Row],[R|W]]="W","5","0"),$B$1,Tabela81517[[#This Row],[N]]))</calculatedColumnFormula>
    </tableColumn>
    <tableColumn id="9" xr3:uid="{DDBC136E-3598-4FAE-BAFD-D3418CF7E665}" name="TG IHM" dataDxfId="2">
      <calculatedColumnFormula>CONCATENATE($C$1,".",Tabela81517[[#This Row],[EV]])</calculatedColumnFormula>
    </tableColumn>
    <tableColumn id="11" xr3:uid="{92B8391E-3E22-447F-937C-8C911BA7A4B4}" name="MB IHM" dataDxfId="1">
      <calculatedColumnFormula>IF(Tabela81517[[#This Row],[R|W]]="D","-",CONCATENATE(IF(Tabela81517[[#This Row],[R|W]]="W","5","0"),$B$1,Tabela81517[[#This Row],[N]]))</calculatedColumnFormula>
    </tableColumn>
    <tableColumn id="10" xr3:uid="{1350B97C-617A-4BDF-9D70-2AE4E5A06E70}" name="Descrição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E921E7D-7893-4634-B637-FCC2229891D4}" name="Tabela8151718" displayName="Tabela8151718" ref="B3:L22" totalsRowShown="0" headerRowDxfId="234" dataDxfId="232" headerRowBorderDxfId="233" tableBorderDxfId="231">
  <autoFilter ref="B3:L22" xr:uid="{EE921E7D-7893-4634-B637-FCC2229891D4}">
    <filterColumn colId="1">
      <filters>
        <filter val="Inteira"/>
      </filters>
    </filterColumn>
    <filterColumn colId="2">
      <filters>
        <filter val="W"/>
      </filters>
    </filterColumn>
  </autoFilter>
  <sortState xmlns:xlrd2="http://schemas.microsoft.com/office/spreadsheetml/2017/richdata2" ref="B4:L19">
    <sortCondition ref="G3:G19"/>
  </sortState>
  <tableColumns count="11">
    <tableColumn id="3" xr3:uid="{4EEE6847-FF25-49FD-8AC7-ED07D3A892D1}" name="EV" dataDxfId="230"/>
    <tableColumn id="4" xr3:uid="{B249CAEC-C65C-4D1D-BF20-F2A2DC85BD76}" name="B|N" dataDxfId="229"/>
    <tableColumn id="5" xr3:uid="{F6538BB9-DDD3-4E1A-B896-AAD56CFB0CAD}" name="R|W" dataDxfId="228"/>
    <tableColumn id="6" xr3:uid="{C40547D0-3224-4C8C-B8B2-5431716C4251}" name="N" dataDxfId="227"/>
    <tableColumn id="7" xr3:uid="{A1C4178B-7236-4F8B-90CE-1763E48BCB2F}" name="TG CLP" dataDxfId="226">
      <calculatedColumnFormula>CONCATENATE($C$2,"_",Tabela8151718[[#This Row],[EV]])</calculatedColumnFormula>
    </tableColumn>
    <tableColumn id="8" xr3:uid="{BB99007E-4F00-49A0-9EC5-8B7BD277B0C6}" name="MB CLP" dataDxfId="225">
      <calculatedColumnFormula>IF(Tabela8151718[[#This Row],[R|W]]="D","-",CONCATENATE(IF(Tabela8151718[[#This Row],[B|N]]="Inteira","40","00"),IF(Tabela8151718[[#This Row],[R|W]]="W","5","0"),$B$2,Tabela8151718[[#This Row],[N]]))</calculatedColumnFormula>
    </tableColumn>
    <tableColumn id="9" xr3:uid="{683AB7F6-6EFD-40E4-B4AD-D54CFD765978}" name="TG IHM" dataDxfId="224">
      <calculatedColumnFormula>CONCATENATE($C$2,".",Tabela8151718[[#This Row],[EV]])</calculatedColumnFormula>
    </tableColumn>
    <tableColumn id="11" xr3:uid="{284685CE-7807-47D1-8C42-E57A3F2B826A}" name="MB IHM" dataDxfId="223">
      <calculatedColumnFormula>IF(Tabela8151718[[#This Row],[R|W]]="D","-",CONCATENATE(IF(Tabela8151718[[#This Row],[R|W]]="W","5","0"),$B$2,Tabela8151718[[#This Row],[N]]))</calculatedColumnFormula>
    </tableColumn>
    <tableColumn id="12" xr3:uid="{75655E50-7364-44CC-9822-92764817CE0A}" name="TG" dataDxfId="222"/>
    <tableColumn id="10" xr3:uid="{BEC214F1-4C74-4975-BC17-45D6250AE559}" name="Descrição" dataDxfId="221"/>
    <tableColumn id="1" xr3:uid="{D49A1410-8295-4D2A-8913-6BA59411C3EF}" name="n2" dataDxfId="220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1687305-1C0F-41E9-9F9B-FC2284A10EC3}" name="Tabela815171819" displayName="Tabela815171819" ref="B25:K31" totalsRowShown="0" headerRowDxfId="219" dataDxfId="217" headerRowBorderDxfId="218" tableBorderDxfId="216">
  <autoFilter ref="B25:K31" xr:uid="{61687305-1C0F-41E9-9F9B-FC2284A10EC3}"/>
  <sortState xmlns:xlrd2="http://schemas.microsoft.com/office/spreadsheetml/2017/richdata2" ref="B25:K26">
    <sortCondition ref="G3:G12"/>
  </sortState>
  <tableColumns count="10">
    <tableColumn id="3" xr3:uid="{2F3E9349-A5A4-451A-A4B4-A806ADDF74C5}" name="EV" dataDxfId="215"/>
    <tableColumn id="4" xr3:uid="{66AA777F-7C13-4D0A-BD5A-4D3419D7DBFA}" name="B|N" dataDxfId="214"/>
    <tableColumn id="5" xr3:uid="{D7A5ED1D-F071-44DA-8F16-2BCF1677411E}" name="R|W" dataDxfId="213"/>
    <tableColumn id="6" xr3:uid="{1FEB2D34-A3F5-4A46-8CB1-1009D40AE17A}" name="N" dataDxfId="212"/>
    <tableColumn id="7" xr3:uid="{EFAC6259-15B2-46B8-A373-4D602E3D49F8}" name="TG CLP" dataDxfId="211">
      <calculatedColumnFormula>CONCATENATE($C$24,"_",Tabela815171819[[#This Row],[EV]])</calculatedColumnFormula>
    </tableColumn>
    <tableColumn id="8" xr3:uid="{2855C055-4561-42D2-8439-877A96F3ADB9}" name="MB CLP" dataDxfId="210">
      <calculatedColumnFormula>IF(Tabela815171819[[#This Row],[R|W]]="D","-",CONCATENATE(IF(Tabela815171819[[#This Row],[B|N]]="Inteira","40","00"),IF(Tabela815171819[[#This Row],[R|W]]="W","5","0"),$B$24,Tabela815171819[[#This Row],[N]]))</calculatedColumnFormula>
    </tableColumn>
    <tableColumn id="9" xr3:uid="{9DB20D65-BA0B-4122-A789-1DE4212C4FE8}" name="TG IHM" dataDxfId="209">
      <calculatedColumnFormula>CONCATENATE($C$24,".",Tabela815171819[[#This Row],[EV]])</calculatedColumnFormula>
    </tableColumn>
    <tableColumn id="11" xr3:uid="{6C754D11-052D-4951-A54A-B43F2C749039}" name="MB IHM" dataDxfId="208">
      <calculatedColumnFormula>IF(Tabela815171819[[#This Row],[R|W]]="D","-",CONCATENATE(IF(Tabela815171819[[#This Row],[R|W]]="W","5","0"),$B$24,Tabela815171819[[#This Row],[N]]))</calculatedColumnFormula>
    </tableColumn>
    <tableColumn id="12" xr3:uid="{8DC69E18-C3E2-4DEF-B6FB-AF9DC2BF7FF0}" name="TG" dataDxfId="207"/>
    <tableColumn id="10" xr3:uid="{5AA7135F-6F52-4431-90A6-004DBDEA31A5}" name="Descrição" dataDxfId="20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99D622-5E95-4922-A4A7-E01B2FE0EED5}" name="Tabela81517181914" displayName="Tabela81517181914" ref="B34:K38" totalsRowShown="0" headerRowDxfId="205" dataDxfId="203" headerRowBorderDxfId="204" tableBorderDxfId="202">
  <autoFilter ref="B34:K38" xr:uid="{D799D622-5E95-4922-A4A7-E01B2FE0EED5}"/>
  <sortState xmlns:xlrd2="http://schemas.microsoft.com/office/spreadsheetml/2017/richdata2" ref="B35:K38">
    <sortCondition ref="G34:G38"/>
  </sortState>
  <tableColumns count="10">
    <tableColumn id="3" xr3:uid="{9C475415-1B69-49BF-AEA8-6C3794914FF1}" name="EV" dataDxfId="201"/>
    <tableColumn id="4" xr3:uid="{783209AB-8813-48D1-9704-3441B803E645}" name="B|N" dataDxfId="200"/>
    <tableColumn id="5" xr3:uid="{9B5E1D2F-BC91-4D62-8967-90420A2E2715}" name="R|W" dataDxfId="199"/>
    <tableColumn id="6" xr3:uid="{3B318F53-AEC3-4CA2-9594-8112BDD85E16}" name="N" dataDxfId="198"/>
    <tableColumn id="7" xr3:uid="{5052D72B-26A4-4409-A702-8584A454EB9B}" name="TG CLP" dataDxfId="197">
      <calculatedColumnFormula>CONCATENATE($C$33,"_",Tabela81517181914[[#This Row],[EV]])</calculatedColumnFormula>
    </tableColumn>
    <tableColumn id="8" xr3:uid="{C1EE4D02-77C0-49B3-93FA-F139B82967EE}" name="MB CLP" dataDxfId="196">
      <calculatedColumnFormula>IF(Tabela81517181914[[#This Row],[R|W]]="D","-",CONCATENATE(IF(Tabela81517181914[[#This Row],[B|N]]="Inteira","40","00"),IF(Tabela81517181914[[#This Row],[R|W]]="W","5","0"),$B$33,Tabela81517181914[[#This Row],[N]]))</calculatedColumnFormula>
    </tableColumn>
    <tableColumn id="9" xr3:uid="{D6F4013A-92F5-4507-8E81-D99E18CB158C}" name="TG IHM" dataDxfId="195">
      <calculatedColumnFormula>CONCATENATE($C$33,".",Tabela81517181914[[#This Row],[EV]])</calculatedColumnFormula>
    </tableColumn>
    <tableColumn id="11" xr3:uid="{FCE7141E-BD15-48CA-B9AA-A874EE35F1A7}" name="MB IHM" dataDxfId="194">
      <calculatedColumnFormula>IF(Tabela81517181914[[#This Row],[R|W]]="D","-",CONCATENATE(IF(Tabela81517181914[[#This Row],[R|W]]="W","5","0"),$B$33,Tabela81517181914[[#This Row],[N]]))</calculatedColumnFormula>
    </tableColumn>
    <tableColumn id="12" xr3:uid="{71585E96-6429-4434-BB00-669DDF703362}" name="TG" dataDxfId="193"/>
    <tableColumn id="10" xr3:uid="{F7950702-157F-4407-9C01-BA64076430D5}" name="Descrição" dataDxfId="192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8B0172F-F144-4F64-B91B-508AA2576852}" name="Tabela8151722" displayName="Tabela8151722" ref="B3:J8" totalsRowShown="0" headerRowDxfId="190" dataDxfId="188" headerRowBorderDxfId="189" tableBorderDxfId="187">
  <autoFilter ref="B3:J8" xr:uid="{C8B0172F-F144-4F64-B91B-508AA2576852}"/>
  <sortState xmlns:xlrd2="http://schemas.microsoft.com/office/spreadsheetml/2017/richdata2" ref="B4:J8">
    <sortCondition ref="G3:G8"/>
  </sortState>
  <tableColumns count="9">
    <tableColumn id="3" xr3:uid="{B38EA29F-0233-44ED-A571-D675232F65F3}" name="EV" dataDxfId="186"/>
    <tableColumn id="4" xr3:uid="{247DEE8D-7FC7-49ED-BAD9-F002987B17D9}" name="B|N" dataDxfId="185"/>
    <tableColumn id="5" xr3:uid="{56ABC691-DE3A-4BFF-8F3C-F82C9D6D3C7E}" name="R|W" dataDxfId="184"/>
    <tableColumn id="6" xr3:uid="{C95A13F8-E626-4F99-8818-3CA3B521D058}" name="N" dataDxfId="183"/>
    <tableColumn id="7" xr3:uid="{A0E3962F-1339-494E-B37B-ACD37A6D3345}" name="TG CLP" dataDxfId="182">
      <calculatedColumnFormula>CONCATENATE($C$2,"_",Tabela8151722[[#This Row],[EV]])</calculatedColumnFormula>
    </tableColumn>
    <tableColumn id="8" xr3:uid="{F0233878-9D99-406B-B91A-A09307BFE521}" name="MB CLP" dataDxfId="181">
      <calculatedColumnFormula>IF(Tabela8151722[[#This Row],[R|W]]="D","-",CONCATENATE(IF(Tabela8151722[[#This Row],[B|N]]="Inteira","40","00"),IF(Tabela8151722[[#This Row],[R|W]]="W","5","0"),$B$2,Tabela8151722[[#This Row],[N]]))</calculatedColumnFormula>
    </tableColumn>
    <tableColumn id="9" xr3:uid="{099905CF-C5D5-4850-9FEF-EE33D5030274}" name="TG IHM" dataDxfId="180">
      <calculatedColumnFormula>CONCATENATE($C$2,".",Tabela8151722[[#This Row],[EV]])</calculatedColumnFormula>
    </tableColumn>
    <tableColumn id="11" xr3:uid="{4ED111DA-41C0-4295-8D76-BEF85CBFA4BD}" name="MB IHM" dataDxfId="179">
      <calculatedColumnFormula>IF(Tabela8151722[[#This Row],[R|W]]="D","-",CONCATENATE(IF(Tabela8151722[[#This Row],[R|W]]="W","5","0"),$B$2,Tabela8151722[[#This Row],[N]]))</calculatedColumnFormula>
    </tableColumn>
    <tableColumn id="10" xr3:uid="{5B49C92A-E26B-44DF-914D-392ECEC0B4B8}" name="Descrição" dataDxfId="178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ECAB03-6252-435A-BFDB-5377198318E2}" name="Tabela81517225" displayName="Tabela81517225" ref="B11:J16" totalsRowShown="0" headerRowDxfId="177" dataDxfId="175" headerRowBorderDxfId="176" tableBorderDxfId="174">
  <autoFilter ref="B11:J16" xr:uid="{2BECAB03-6252-435A-BFDB-5377198318E2}"/>
  <sortState xmlns:xlrd2="http://schemas.microsoft.com/office/spreadsheetml/2017/richdata2" ref="B12:J16">
    <sortCondition ref="G3:G8"/>
  </sortState>
  <tableColumns count="9">
    <tableColumn id="3" xr3:uid="{E0760C16-A6B9-4CC4-82AA-8CA678B10FAD}" name="EV" dataDxfId="173"/>
    <tableColumn id="4" xr3:uid="{75997CEC-D455-41CE-A38A-8B4F0E8940E9}" name="B|N" dataDxfId="172"/>
    <tableColumn id="5" xr3:uid="{38B2A430-8E0D-423A-AC51-5CCFB9BA0E9C}" name="R|W" dataDxfId="171"/>
    <tableColumn id="6" xr3:uid="{AFDE7339-B44D-4D21-B3D6-11FAC0561FAF}" name="N" dataDxfId="170"/>
    <tableColumn id="7" xr3:uid="{C22B5323-35FD-412E-8601-7CD5DE1721D3}" name="TG CLP" dataDxfId="169">
      <calculatedColumnFormula>CONCATENATE($C$10,"_",Tabela81517225[[#This Row],[EV]])</calculatedColumnFormula>
    </tableColumn>
    <tableColumn id="8" xr3:uid="{2C68C79D-769C-4923-A626-FD3BB88DCA02}" name="MB CLP" dataDxfId="168">
      <calculatedColumnFormula>IF(Tabela81517225[[#This Row],[R|W]]="D","-",CONCATENATE(IF(Tabela81517225[[#This Row],[B|N]]="Inteira","40","00"),IF(Tabela81517225[[#This Row],[R|W]]="W","5","0"),$B$10,Tabela81517225[[#This Row],[N]]))</calculatedColumnFormula>
    </tableColumn>
    <tableColumn id="9" xr3:uid="{5AD8152E-3798-44E5-84AC-85F8837EDBC9}" name="TG IHM" dataDxfId="167">
      <calculatedColumnFormula>CONCATENATE($C$10,".",Tabela81517225[[#This Row],[EV]])</calculatedColumnFormula>
    </tableColumn>
    <tableColumn id="11" xr3:uid="{2E32DECA-F864-4201-845C-0111582ECDAC}" name="MB IHM" dataDxfId="166">
      <calculatedColumnFormula>IF(Tabela81517225[[#This Row],[R|W]]="D","-",CONCATENATE(IF(Tabela81517225[[#This Row],[R|W]]="W","5","0"),$B$10,Tabela81517225[[#This Row],[N]]))</calculatedColumnFormula>
    </tableColumn>
    <tableColumn id="10" xr3:uid="{5677640F-C30A-4013-9B11-C310752B2F83}" name="Descrição" dataDxfId="165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53AE4A-A3B2-4EFF-81D2-5755F5C81309}" name="Tabela815172256" displayName="Tabela815172256" ref="B19:J24" totalsRowShown="0" headerRowDxfId="164" dataDxfId="162" headerRowBorderDxfId="163" tableBorderDxfId="161">
  <autoFilter ref="B19:J24" xr:uid="{D753AE4A-A3B2-4EFF-81D2-5755F5C81309}"/>
  <sortState xmlns:xlrd2="http://schemas.microsoft.com/office/spreadsheetml/2017/richdata2" ref="B20:J24">
    <sortCondition ref="G3:G8"/>
  </sortState>
  <tableColumns count="9">
    <tableColumn id="3" xr3:uid="{35E6B364-2F4F-4CC3-B92A-E4A7589B4BA9}" name="EV" dataDxfId="160"/>
    <tableColumn id="4" xr3:uid="{5BC69B19-085E-4B9A-9255-8D279ECF789B}" name="B|N" dataDxfId="159"/>
    <tableColumn id="5" xr3:uid="{82E7C378-CDCD-4087-BE7C-2C94ADD3541C}" name="R|W" dataDxfId="158"/>
    <tableColumn id="6" xr3:uid="{173E80EE-757B-4562-96CF-E0C0B8657C28}" name="N" dataDxfId="157"/>
    <tableColumn id="7" xr3:uid="{C81A14A5-AC04-4CD2-B941-6AC166AE78EF}" name="TG CLP" dataDxfId="156">
      <calculatedColumnFormula>CONCATENATE($C$18,"_",Tabela815172256[[#This Row],[EV]])</calculatedColumnFormula>
    </tableColumn>
    <tableColumn id="8" xr3:uid="{F973CE72-5B64-4598-B24F-D3FD8405C1A3}" name="MB CLP" dataDxfId="155">
      <calculatedColumnFormula>IF(Tabela815172256[[#This Row],[R|W]]="D","-",CONCATENATE(IF(Tabela815172256[[#This Row],[B|N]]="Inteira","40","00"),IF(Tabela815172256[[#This Row],[R|W]]="W","5","0"),$B$18,Tabela815172256[[#This Row],[N]]))</calculatedColumnFormula>
    </tableColumn>
    <tableColumn id="9" xr3:uid="{EFE5D885-293D-40FA-8DFD-6749F4C2A1CF}" name="TG IHM" dataDxfId="154">
      <calculatedColumnFormula>CONCATENATE($C$18,".",Tabela815172256[[#This Row],[EV]])</calculatedColumnFormula>
    </tableColumn>
    <tableColumn id="11" xr3:uid="{008595A7-AA50-42D4-89DE-5038C58CAE00}" name="MB IHM" dataDxfId="153">
      <calculatedColumnFormula>IF(Tabela815172256[[#This Row],[R|W]]="D","-",CONCATENATE(IF(Tabela815172256[[#This Row],[R|W]]="W","5","0"),$B$18,Tabela815172256[[#This Row],[N]]))</calculatedColumnFormula>
    </tableColumn>
    <tableColumn id="10" xr3:uid="{7A9B1413-67D4-4C8F-8D06-9D73CFFF7424}" name="Descrição" dataDxfId="152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0E657E-9439-43FE-BD71-7A23A9843895}" name="Tabela81517225610" displayName="Tabela81517225610" ref="B27:J32" totalsRowShown="0" headerRowDxfId="151" dataDxfId="149" headerRowBorderDxfId="150" tableBorderDxfId="148">
  <autoFilter ref="B27:J32" xr:uid="{820E657E-9439-43FE-BD71-7A23A9843895}"/>
  <sortState xmlns:xlrd2="http://schemas.microsoft.com/office/spreadsheetml/2017/richdata2" ref="B28:J32">
    <sortCondition ref="G3:G8"/>
  </sortState>
  <tableColumns count="9">
    <tableColumn id="3" xr3:uid="{6A7B855E-9455-4F76-B23D-5A1107D6E420}" name="EV" dataDxfId="147"/>
    <tableColumn id="4" xr3:uid="{0A96A88B-D030-4122-926B-73B8DB8C937D}" name="B|N" dataDxfId="146"/>
    <tableColumn id="5" xr3:uid="{52373246-71DC-4858-8EE5-7B1FEFBCD9FD}" name="R|W" dataDxfId="145"/>
    <tableColumn id="6" xr3:uid="{F9790AF7-2E23-4992-9FD1-644A25D2A58D}" name="N" dataDxfId="144"/>
    <tableColumn id="7" xr3:uid="{A4F7A29C-9F35-454E-9DE1-D32ABB9D8658}" name="TG CLP" dataDxfId="143">
      <calculatedColumnFormula>CONCATENATE($C$26,"_",Tabela81517225610[[#This Row],[EV]])</calculatedColumnFormula>
    </tableColumn>
    <tableColumn id="8" xr3:uid="{05EFEFB1-B486-4CA9-A935-1BD9B3C104B2}" name="MB CLP" dataDxfId="142">
      <calculatedColumnFormula>IF(Tabela81517225610[[#This Row],[R|W]]="D","-",CONCATENATE(IF(Tabela81517225610[[#This Row],[B|N]]="Inteira","40","00"),IF(Tabela81517225610[[#This Row],[R|W]]="W","5","0"),$B$26,Tabela81517225610[[#This Row],[N]]))</calculatedColumnFormula>
    </tableColumn>
    <tableColumn id="9" xr3:uid="{AB0B337A-FE28-4D81-BD8C-6C2BE6EC5983}" name="TG IHM" dataDxfId="141">
      <calculatedColumnFormula>CONCATENATE($C$18,".",Tabela81517225610[[#This Row],[EV]])</calculatedColumnFormula>
    </tableColumn>
    <tableColumn id="11" xr3:uid="{571C62CA-6F2B-4503-923F-9C56B0109BE5}" name="MB IHM" dataDxfId="140">
      <calculatedColumnFormula>IF(Tabela81517225610[[#This Row],[R|W]]="D","-",CONCATENATE(IF(Tabela81517225610[[#This Row],[R|W]]="W","5","0"),$B$26,Tabela81517225610[[#This Row],[N]]))</calculatedColumnFormula>
    </tableColumn>
    <tableColumn id="10" xr3:uid="{0291AC3A-5D41-40B1-A229-AB014CD5710B}" name="Descrição" dataDxfId="139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6B3B4F-CC2A-4DDC-A1BA-FA87D4305FA5}" name="Tabela8151722561012" displayName="Tabela8151722561012" ref="B35:J40" totalsRowShown="0" headerRowDxfId="138" dataDxfId="136" headerRowBorderDxfId="137" tableBorderDxfId="135">
  <autoFilter ref="B35:J40" xr:uid="{506B3B4F-CC2A-4DDC-A1BA-FA87D4305FA5}"/>
  <sortState xmlns:xlrd2="http://schemas.microsoft.com/office/spreadsheetml/2017/richdata2" ref="B36:J40">
    <sortCondition ref="G3:G8"/>
  </sortState>
  <tableColumns count="9">
    <tableColumn id="3" xr3:uid="{1DF82E58-7B93-4DD7-A19E-BEA99AD51911}" name="EV" dataDxfId="134"/>
    <tableColumn id="4" xr3:uid="{7FE5EAE2-CD90-4A03-9269-3D9E68C0DD1A}" name="B|N" dataDxfId="133"/>
    <tableColumn id="5" xr3:uid="{CCF9C4EC-00CD-4D19-B2FF-2E264C0E133F}" name="R|W" dataDxfId="132"/>
    <tableColumn id="6" xr3:uid="{DE227132-32CC-4B77-8090-D476F33A4BFF}" name="N" dataDxfId="131"/>
    <tableColumn id="7" xr3:uid="{5FF487E4-AD04-444C-BE7A-6A2E492BDA40}" name="TG CLP" dataDxfId="130">
      <calculatedColumnFormula>CONCATENATE($C$34,"_",Tabela8151722561012[[#This Row],[EV]])</calculatedColumnFormula>
    </tableColumn>
    <tableColumn id="8" xr3:uid="{393EA33D-26F8-43DC-8034-2A318FAA750D}" name="MB CLP" dataDxfId="129">
      <calculatedColumnFormula>IF(Tabela8151722561012[[#This Row],[R|W]]="D","-",CONCATENATE(IF(Tabela8151722561012[[#This Row],[B|N]]="Inteira","40","00"),IF(Tabela8151722561012[[#This Row],[R|W]]="W","5","0"),$B$34,Tabela8151722561012[[#This Row],[N]]))</calculatedColumnFormula>
    </tableColumn>
    <tableColumn id="9" xr3:uid="{38CA4DAE-77FC-4A0D-8DD7-7B9F7D4289F5}" name="TG IHM" dataDxfId="128">
      <calculatedColumnFormula>CONCATENATE($C$34,".",Tabela8151722561012[[#This Row],[EV]])</calculatedColumnFormula>
    </tableColumn>
    <tableColumn id="11" xr3:uid="{78526B3D-DD93-4CD9-A2BC-D2A41E115A86}" name="MB IHM" dataDxfId="127">
      <calculatedColumnFormula>IF(Tabela8151722561012[[#This Row],[R|W]]="D","-",CONCATENATE(IF(Tabela8151722561012[[#This Row],[R|W]]="W","5","0"),$B$34,Tabela8151722561012[[#This Row],[N]]))</calculatedColumnFormula>
    </tableColumn>
    <tableColumn id="10" xr3:uid="{5706F03B-2BF6-4902-8660-D611D535CF28}" name="Descrição" dataDxfId="12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5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6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A9FB-5AEA-497E-ACA8-360A3D5ADBC6}">
  <dimension ref="A1:F62"/>
  <sheetViews>
    <sheetView topLeftCell="A55" zoomScale="160" zoomScaleNormal="160" workbookViewId="0"/>
  </sheetViews>
  <sheetFormatPr defaultColWidth="9.140625" defaultRowHeight="15.75" x14ac:dyDescent="0.25"/>
  <cols>
    <col min="1" max="1" width="3.28515625" style="3" bestFit="1" customWidth="1"/>
    <col min="2" max="2" width="13.5703125" style="7" bestFit="1" customWidth="1"/>
    <col min="3" max="3" width="5.7109375" style="3" bestFit="1" customWidth="1"/>
    <col min="4" max="4" width="7" style="3" bestFit="1" customWidth="1"/>
    <col min="5" max="5" width="7.5703125" style="3" bestFit="1" customWidth="1"/>
    <col min="6" max="6" width="7.7109375" style="3" bestFit="1" customWidth="1"/>
    <col min="7" max="16384" width="9.140625" style="3"/>
  </cols>
  <sheetData>
    <row r="1" spans="1:6" x14ac:dyDescent="0.25">
      <c r="A1" s="4"/>
    </row>
    <row r="2" spans="1:6" x14ac:dyDescent="0.25">
      <c r="B2" s="7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x14ac:dyDescent="0.25">
      <c r="B3" s="7" t="s">
        <v>5</v>
      </c>
      <c r="C3" s="3" t="str">
        <f>RIGHT(Tabela10[[#This Row],[MB]],4)</f>
        <v>0021</v>
      </c>
      <c r="D3" s="3" t="str">
        <f>LEFT(Tabela10[[#This Row],[MB]],2)</f>
        <v>00</v>
      </c>
      <c r="E3" s="3" t="str">
        <f>LEFT(Tabela10[[#This Row],[ED]])</f>
        <v>0</v>
      </c>
      <c r="F3" s="3" t="s">
        <v>6</v>
      </c>
    </row>
    <row r="4" spans="1:6" x14ac:dyDescent="0.25">
      <c r="B4" s="7" t="s">
        <v>7</v>
      </c>
      <c r="C4" s="3" t="str">
        <f>RIGHT(Tabela10[[#This Row],[MB]],4)</f>
        <v>0031</v>
      </c>
      <c r="D4" s="3" t="str">
        <f>LEFT(Tabela10[[#This Row],[MB]],2)</f>
        <v>00</v>
      </c>
      <c r="E4" s="3" t="str">
        <f>LEFT(Tabela10[[#This Row],[ED]])</f>
        <v>0</v>
      </c>
      <c r="F4" s="3" t="s">
        <v>8</v>
      </c>
    </row>
    <row r="5" spans="1:6" x14ac:dyDescent="0.25">
      <c r="B5" s="7" t="s">
        <v>9</v>
      </c>
      <c r="C5" s="3" t="str">
        <f>RIGHT(Tabela10[[#This Row],[MB]],4)</f>
        <v>5001</v>
      </c>
      <c r="D5" s="3" t="str">
        <f>LEFT(Tabela10[[#This Row],[MB]],2)</f>
        <v>00</v>
      </c>
      <c r="E5" s="3" t="str">
        <f>LEFT(Tabela10[[#This Row],[ED]])</f>
        <v>5</v>
      </c>
      <c r="F5" s="3" t="s">
        <v>10</v>
      </c>
    </row>
    <row r="6" spans="1:6" x14ac:dyDescent="0.25">
      <c r="B6" s="7" t="s">
        <v>11</v>
      </c>
      <c r="C6" s="3" t="str">
        <f>RIGHT(Tabela10[[#This Row],[MB]],4)</f>
        <v>5002</v>
      </c>
      <c r="D6" s="3" t="str">
        <f>LEFT(Tabela10[[#This Row],[MB]],2)</f>
        <v>00</v>
      </c>
      <c r="E6" s="3" t="str">
        <f>LEFT(Tabela10[[#This Row],[ED]])</f>
        <v>5</v>
      </c>
      <c r="F6" s="3" t="s">
        <v>12</v>
      </c>
    </row>
    <row r="7" spans="1:6" x14ac:dyDescent="0.25">
      <c r="B7" s="7" t="s">
        <v>13</v>
      </c>
      <c r="C7" s="3" t="str">
        <f>RIGHT(Tabela10[[#This Row],[MB]],4)</f>
        <v>5211</v>
      </c>
      <c r="D7" s="3" t="str">
        <f>LEFT(Tabela10[[#This Row],[MB]],2)</f>
        <v>00</v>
      </c>
      <c r="E7" s="3" t="str">
        <f>LEFT(Tabela10[[#This Row],[ED]])</f>
        <v>5</v>
      </c>
      <c r="F7" s="3" t="s">
        <v>14</v>
      </c>
    </row>
    <row r="8" spans="1:6" x14ac:dyDescent="0.25">
      <c r="B8" s="7" t="s">
        <v>15</v>
      </c>
      <c r="C8" s="3" t="str">
        <f>RIGHT(Tabela10[[#This Row],[MB]],4)</f>
        <v>5212</v>
      </c>
      <c r="D8" s="3" t="str">
        <f>LEFT(Tabela10[[#This Row],[MB]],2)</f>
        <v>00</v>
      </c>
      <c r="E8" s="3" t="str">
        <f>LEFT(Tabela10[[#This Row],[ED]])</f>
        <v>5</v>
      </c>
      <c r="F8" s="3" t="s">
        <v>16</v>
      </c>
    </row>
    <row r="9" spans="1:6" x14ac:dyDescent="0.25">
      <c r="B9" s="7" t="s">
        <v>17</v>
      </c>
      <c r="C9" s="3" t="str">
        <f>RIGHT(Tabela10[[#This Row],[MB]],4)</f>
        <v>5213</v>
      </c>
      <c r="D9" s="3" t="str">
        <f>LEFT(Tabela10[[#This Row],[MB]],2)</f>
        <v>00</v>
      </c>
      <c r="E9" s="3" t="str">
        <f>LEFT(Tabela10[[#This Row],[ED]])</f>
        <v>5</v>
      </c>
      <c r="F9" s="3" t="s">
        <v>18</v>
      </c>
    </row>
    <row r="10" spans="1:6" x14ac:dyDescent="0.25">
      <c r="B10" s="7" t="s">
        <v>19</v>
      </c>
      <c r="C10" s="3" t="str">
        <f>RIGHT(Tabela10[[#This Row],[MB]],4)</f>
        <v>5311</v>
      </c>
      <c r="D10" s="3" t="str">
        <f>LEFT(Tabela10[[#This Row],[MB]],2)</f>
        <v>00</v>
      </c>
      <c r="E10" s="3" t="str">
        <f>LEFT(Tabela10[[#This Row],[ED]])</f>
        <v>5</v>
      </c>
      <c r="F10" s="3" t="s">
        <v>20</v>
      </c>
    </row>
    <row r="11" spans="1:6" x14ac:dyDescent="0.25">
      <c r="B11" s="7" t="s">
        <v>21</v>
      </c>
      <c r="C11" s="3" t="str">
        <f>RIGHT(Tabela10[[#This Row],[MB]],4)</f>
        <v>5312</v>
      </c>
      <c r="D11" s="3" t="str">
        <f>LEFT(Tabela10[[#This Row],[MB]],2)</f>
        <v>00</v>
      </c>
      <c r="E11" s="3" t="str">
        <f>LEFT(Tabela10[[#This Row],[ED]])</f>
        <v>5</v>
      </c>
      <c r="F11" s="3" t="s">
        <v>22</v>
      </c>
    </row>
    <row r="12" spans="1:6" x14ac:dyDescent="0.25">
      <c r="B12" s="7" t="s">
        <v>23</v>
      </c>
      <c r="C12" s="3" t="str">
        <f>RIGHT(Tabela10[[#This Row],[MB]],4)</f>
        <v>5313</v>
      </c>
      <c r="D12" s="3" t="str">
        <f>LEFT(Tabela10[[#This Row],[MB]],2)</f>
        <v>00</v>
      </c>
      <c r="E12" s="3" t="str">
        <f>LEFT(Tabela10[[#This Row],[ED]])</f>
        <v>5</v>
      </c>
      <c r="F12" s="3" t="s">
        <v>24</v>
      </c>
    </row>
    <row r="13" spans="1:6" x14ac:dyDescent="0.25">
      <c r="B13" s="7" t="s">
        <v>25</v>
      </c>
      <c r="C13" s="3" t="str">
        <f>RIGHT(Tabela10[[#This Row],[MB]],4)</f>
        <v>5610</v>
      </c>
      <c r="D13" s="3" t="str">
        <f>LEFT(Tabela10[[#This Row],[MB]],2)</f>
        <v>00</v>
      </c>
      <c r="E13" s="3" t="str">
        <f>LEFT(Tabela10[[#This Row],[ED]])</f>
        <v>5</v>
      </c>
      <c r="F13" s="4" t="s">
        <v>26</v>
      </c>
    </row>
    <row r="14" spans="1:6" x14ac:dyDescent="0.25">
      <c r="B14" s="7" t="s">
        <v>27</v>
      </c>
      <c r="C14" s="3" t="str">
        <f>RIGHT(Tabela10[[#This Row],[MB]],4)</f>
        <v>5611</v>
      </c>
      <c r="D14" s="3" t="str">
        <f>LEFT(Tabela10[[#This Row],[MB]],2)</f>
        <v>00</v>
      </c>
      <c r="E14" s="3" t="str">
        <f>LEFT(Tabela10[[#This Row],[ED]])</f>
        <v>5</v>
      </c>
      <c r="F14" s="6" t="s">
        <v>28</v>
      </c>
    </row>
    <row r="15" spans="1:6" x14ac:dyDescent="0.25">
      <c r="B15" s="7" t="s">
        <v>29</v>
      </c>
      <c r="C15" s="3" t="str">
        <f>RIGHT(Tabela10[[#This Row],[MB]],4)</f>
        <v>5612</v>
      </c>
      <c r="D15" s="3" t="str">
        <f>LEFT(Tabela10[[#This Row],[MB]],2)</f>
        <v>00</v>
      </c>
      <c r="E15" s="3" t="str">
        <f>LEFT(Tabela10[[#This Row],[ED]])</f>
        <v>5</v>
      </c>
      <c r="F15" s="6" t="s">
        <v>30</v>
      </c>
    </row>
    <row r="16" spans="1:6" x14ac:dyDescent="0.25">
      <c r="B16" s="7" t="s">
        <v>31</v>
      </c>
      <c r="C16" s="3" t="str">
        <f>RIGHT(Tabela10[[#This Row],[MB]],4)</f>
        <v>5621</v>
      </c>
      <c r="D16" s="3" t="str">
        <f>LEFT(Tabela10[[#This Row],[MB]],2)</f>
        <v>00</v>
      </c>
      <c r="E16" s="3" t="str">
        <f>LEFT(Tabela10[[#This Row],[ED]])</f>
        <v>5</v>
      </c>
      <c r="F16" s="6" t="s">
        <v>32</v>
      </c>
    </row>
    <row r="17" spans="2:6" x14ac:dyDescent="0.25">
      <c r="B17" s="7" t="s">
        <v>33</v>
      </c>
      <c r="C17" s="3" t="str">
        <f>RIGHT(Tabela10[[#This Row],[MB]],4)</f>
        <v>5622</v>
      </c>
      <c r="D17" s="3" t="str">
        <f>LEFT(Tabela10[[#This Row],[MB]],2)</f>
        <v>00</v>
      </c>
      <c r="E17" s="3" t="str">
        <f>LEFT(Tabela10[[#This Row],[ED]])</f>
        <v>5</v>
      </c>
      <c r="F17" s="6" t="s">
        <v>34</v>
      </c>
    </row>
    <row r="18" spans="2:6" x14ac:dyDescent="0.25">
      <c r="B18" s="7" t="s">
        <v>35</v>
      </c>
      <c r="C18" s="3" t="str">
        <f>RIGHT(Tabela10[[#This Row],[MB]],4)</f>
        <v>0021</v>
      </c>
      <c r="D18" s="3" t="str">
        <f>LEFT(Tabela10[[#This Row],[MB]],2)</f>
        <v>40</v>
      </c>
      <c r="E18" s="3" t="str">
        <f>LEFT(Tabela10[[#This Row],[ED]])</f>
        <v>0</v>
      </c>
      <c r="F18" s="3" t="s">
        <v>36</v>
      </c>
    </row>
    <row r="19" spans="2:6" x14ac:dyDescent="0.25">
      <c r="B19" s="7" t="s">
        <v>37</v>
      </c>
      <c r="C19" s="3" t="str">
        <f>RIGHT(Tabela10[[#This Row],[MB]],4)</f>
        <v>0022</v>
      </c>
      <c r="D19" s="3" t="str">
        <f>LEFT(Tabela10[[#This Row],[MB]],2)</f>
        <v>40</v>
      </c>
      <c r="E19" s="3" t="str">
        <f>LEFT(Tabela10[[#This Row],[ED]])</f>
        <v>0</v>
      </c>
      <c r="F19" s="3" t="s">
        <v>38</v>
      </c>
    </row>
    <row r="20" spans="2:6" x14ac:dyDescent="0.25">
      <c r="B20" s="7" t="s">
        <v>39</v>
      </c>
      <c r="C20" s="3" t="str">
        <f>RIGHT(Tabela10[[#This Row],[MB]],4)</f>
        <v>0031</v>
      </c>
      <c r="D20" s="3" t="str">
        <f>LEFT(Tabela10[[#This Row],[MB]],2)</f>
        <v>40</v>
      </c>
      <c r="E20" s="3" t="str">
        <f>LEFT(Tabela10[[#This Row],[ED]])</f>
        <v>0</v>
      </c>
      <c r="F20" s="3" t="s">
        <v>40</v>
      </c>
    </row>
    <row r="21" spans="2:6" x14ac:dyDescent="0.25">
      <c r="B21" s="7" t="s">
        <v>41</v>
      </c>
      <c r="C21" s="3" t="str">
        <f>RIGHT(Tabela10[[#This Row],[MB]],4)</f>
        <v>0032</v>
      </c>
      <c r="D21" s="3" t="str">
        <f>LEFT(Tabela10[[#This Row],[MB]],2)</f>
        <v>40</v>
      </c>
      <c r="E21" s="3" t="str">
        <f>LEFT(Tabela10[[#This Row],[ED]])</f>
        <v>0</v>
      </c>
      <c r="F21" s="3" t="s">
        <v>42</v>
      </c>
    </row>
    <row r="22" spans="2:6" x14ac:dyDescent="0.25">
      <c r="B22" s="7" t="s">
        <v>43</v>
      </c>
      <c r="C22" s="3" t="str">
        <f>RIGHT(Tabela10[[#This Row],[MB]],4)</f>
        <v>0111</v>
      </c>
      <c r="D22" s="3" t="str">
        <f>LEFT(Tabela10[[#This Row],[MB]],2)</f>
        <v>40</v>
      </c>
      <c r="E22" s="3" t="str">
        <f>LEFT(Tabela10[[#This Row],[ED]])</f>
        <v>0</v>
      </c>
      <c r="F22" s="3" t="s">
        <v>44</v>
      </c>
    </row>
    <row r="23" spans="2:6" x14ac:dyDescent="0.25">
      <c r="B23" s="7" t="s">
        <v>45</v>
      </c>
      <c r="C23" s="3" t="str">
        <f>RIGHT(Tabela10[[#This Row],[MB]],4)</f>
        <v>0112</v>
      </c>
      <c r="D23" s="3" t="str">
        <f>LEFT(Tabela10[[#This Row],[MB]],2)</f>
        <v>40</v>
      </c>
      <c r="E23" s="3" t="str">
        <f>LEFT(Tabela10[[#This Row],[ED]])</f>
        <v>0</v>
      </c>
      <c r="F23" s="3" t="s">
        <v>46</v>
      </c>
    </row>
    <row r="24" spans="2:6" x14ac:dyDescent="0.25">
      <c r="B24" s="7" t="s">
        <v>47</v>
      </c>
      <c r="C24" s="3" t="str">
        <f>RIGHT(Tabela10[[#This Row],[MB]],4)</f>
        <v>0121</v>
      </c>
      <c r="D24" s="3" t="str">
        <f>LEFT(Tabela10[[#This Row],[MB]],2)</f>
        <v>40</v>
      </c>
      <c r="E24" s="3" t="str">
        <f>LEFT(Tabela10[[#This Row],[ED]])</f>
        <v>0</v>
      </c>
      <c r="F24" s="3" t="s">
        <v>48</v>
      </c>
    </row>
    <row r="25" spans="2:6" x14ac:dyDescent="0.25">
      <c r="B25" s="7" t="s">
        <v>49</v>
      </c>
      <c r="C25" s="3" t="str">
        <f>RIGHT(Tabela10[[#This Row],[MB]],4)</f>
        <v>0122</v>
      </c>
      <c r="D25" s="3" t="str">
        <f>LEFT(Tabela10[[#This Row],[MB]],2)</f>
        <v>40</v>
      </c>
      <c r="E25" s="3" t="str">
        <f>LEFT(Tabela10[[#This Row],[ED]])</f>
        <v>0</v>
      </c>
      <c r="F25" s="3" t="s">
        <v>50</v>
      </c>
    </row>
    <row r="26" spans="2:6" x14ac:dyDescent="0.25">
      <c r="B26" s="7" t="s">
        <v>51</v>
      </c>
      <c r="C26" s="3" t="str">
        <f>RIGHT(Tabela10[[#This Row],[MB]],4)</f>
        <v>0211</v>
      </c>
      <c r="D26" s="3" t="str">
        <f>LEFT(Tabela10[[#This Row],[MB]],2)</f>
        <v>40</v>
      </c>
      <c r="E26" s="3" t="str">
        <f>LEFT(Tabela10[[#This Row],[ED]])</f>
        <v>0</v>
      </c>
      <c r="F26" s="3" t="s">
        <v>52</v>
      </c>
    </row>
    <row r="27" spans="2:6" x14ac:dyDescent="0.25">
      <c r="B27" s="7" t="s">
        <v>53</v>
      </c>
      <c r="C27" s="3" t="str">
        <f>RIGHT(Tabela10[[#This Row],[MB]],4)</f>
        <v>0212</v>
      </c>
      <c r="D27" s="3" t="str">
        <f>LEFT(Tabela10[[#This Row],[MB]],2)</f>
        <v>40</v>
      </c>
      <c r="E27" s="3" t="str">
        <f>LEFT(Tabela10[[#This Row],[ED]])</f>
        <v>0</v>
      </c>
      <c r="F27" s="3" t="s">
        <v>54</v>
      </c>
    </row>
    <row r="28" spans="2:6" x14ac:dyDescent="0.25">
      <c r="B28" s="7" t="s">
        <v>55</v>
      </c>
      <c r="C28" s="3" t="str">
        <f>RIGHT(Tabela10[[#This Row],[MB]],4)</f>
        <v>0213</v>
      </c>
      <c r="D28" s="3" t="str">
        <f>LEFT(Tabela10[[#This Row],[MB]],2)</f>
        <v>40</v>
      </c>
      <c r="E28" s="3" t="str">
        <f>LEFT(Tabela10[[#This Row],[ED]])</f>
        <v>0</v>
      </c>
      <c r="F28" s="3" t="s">
        <v>56</v>
      </c>
    </row>
    <row r="29" spans="2:6" x14ac:dyDescent="0.25">
      <c r="B29" s="7" t="s">
        <v>57</v>
      </c>
      <c r="C29" s="3" t="str">
        <f>RIGHT(Tabela10[[#This Row],[MB]],4)</f>
        <v>0214</v>
      </c>
      <c r="D29" s="3" t="str">
        <f>LEFT(Tabela10[[#This Row],[MB]],2)</f>
        <v>40</v>
      </c>
      <c r="E29" s="3" t="str">
        <f>LEFT(Tabela10[[#This Row],[ED]])</f>
        <v>0</v>
      </c>
      <c r="F29" s="3" t="s">
        <v>58</v>
      </c>
    </row>
    <row r="30" spans="2:6" x14ac:dyDescent="0.25">
      <c r="B30" s="7" t="s">
        <v>59</v>
      </c>
      <c r="C30" s="3" t="str">
        <f>RIGHT(Tabela10[[#This Row],[MB]],4)</f>
        <v>0311</v>
      </c>
      <c r="D30" s="3" t="str">
        <f>LEFT(Tabela10[[#This Row],[MB]],2)</f>
        <v>40</v>
      </c>
      <c r="E30" s="3" t="str">
        <f>LEFT(Tabela10[[#This Row],[ED]])</f>
        <v>0</v>
      </c>
      <c r="F30" s="3" t="s">
        <v>60</v>
      </c>
    </row>
    <row r="31" spans="2:6" x14ac:dyDescent="0.25">
      <c r="B31" s="7" t="s">
        <v>61</v>
      </c>
      <c r="C31" s="3" t="str">
        <f>RIGHT(Tabela10[[#This Row],[MB]],4)</f>
        <v>0312</v>
      </c>
      <c r="D31" s="3" t="str">
        <f>LEFT(Tabela10[[#This Row],[MB]],2)</f>
        <v>40</v>
      </c>
      <c r="E31" s="3" t="str">
        <f>LEFT(Tabela10[[#This Row],[ED]])</f>
        <v>0</v>
      </c>
      <c r="F31" s="3" t="s">
        <v>62</v>
      </c>
    </row>
    <row r="32" spans="2:6" x14ac:dyDescent="0.25">
      <c r="B32" s="7" t="s">
        <v>63</v>
      </c>
      <c r="C32" s="3" t="str">
        <f>RIGHT(Tabela10[[#This Row],[MB]],4)</f>
        <v>0313</v>
      </c>
      <c r="D32" s="3" t="str">
        <f>LEFT(Tabela10[[#This Row],[MB]],2)</f>
        <v>40</v>
      </c>
      <c r="E32" s="3" t="str">
        <f>LEFT(Tabela10[[#This Row],[ED]])</f>
        <v>0</v>
      </c>
      <c r="F32" s="3" t="s">
        <v>64</v>
      </c>
    </row>
    <row r="33" spans="2:6" x14ac:dyDescent="0.25">
      <c r="B33" s="7" t="s">
        <v>65</v>
      </c>
      <c r="C33" s="3" t="str">
        <f>RIGHT(Tabela10[[#This Row],[MB]],4)</f>
        <v>0314</v>
      </c>
      <c r="D33" s="3" t="str">
        <f>LEFT(Tabela10[[#This Row],[MB]],2)</f>
        <v>40</v>
      </c>
      <c r="E33" s="3" t="str">
        <f>LEFT(Tabela10[[#This Row],[ED]])</f>
        <v>0</v>
      </c>
      <c r="F33" s="3" t="s">
        <v>66</v>
      </c>
    </row>
    <row r="34" spans="2:6" x14ac:dyDescent="0.25">
      <c r="B34" s="7" t="s">
        <v>67</v>
      </c>
      <c r="C34" s="3" t="str">
        <f>RIGHT(Tabela10[[#This Row],[MB]],4)</f>
        <v>0511</v>
      </c>
      <c r="D34" s="3" t="str">
        <f>LEFT(Tabela10[[#This Row],[MB]],2)</f>
        <v>40</v>
      </c>
      <c r="E34" s="3" t="str">
        <f>LEFT(Tabela10[[#This Row],[ED]])</f>
        <v>0</v>
      </c>
      <c r="F34" s="3" t="s">
        <v>68</v>
      </c>
    </row>
    <row r="35" spans="2:6" x14ac:dyDescent="0.25">
      <c r="B35" s="7" t="s">
        <v>69</v>
      </c>
      <c r="C35" s="3" t="str">
        <f>RIGHT(Tabela10[[#This Row],[MB]],4)</f>
        <v>0512</v>
      </c>
      <c r="D35" s="3" t="str">
        <f>LEFT(Tabela10[[#This Row],[MB]],2)</f>
        <v>40</v>
      </c>
      <c r="E35" s="3" t="str">
        <f>LEFT(Tabela10[[#This Row],[ED]])</f>
        <v>0</v>
      </c>
      <c r="F35" s="3" t="s">
        <v>70</v>
      </c>
    </row>
    <row r="36" spans="2:6" x14ac:dyDescent="0.25">
      <c r="B36" s="7" t="s">
        <v>71</v>
      </c>
      <c r="C36" s="3" t="str">
        <f>RIGHT(Tabela10[[#This Row],[MB]],4)</f>
        <v>0611</v>
      </c>
      <c r="D36" s="3" t="str">
        <f>LEFT(Tabela10[[#This Row],[MB]],2)</f>
        <v>40</v>
      </c>
      <c r="E36" s="3" t="str">
        <f>LEFT(Tabela10[[#This Row],[ED]])</f>
        <v>0</v>
      </c>
      <c r="F36" s="6" t="s">
        <v>72</v>
      </c>
    </row>
    <row r="37" spans="2:6" x14ac:dyDescent="0.25">
      <c r="B37" s="7" t="s">
        <v>73</v>
      </c>
      <c r="C37" s="3" t="str">
        <f>RIGHT(Tabela10[[#This Row],[MB]],4)</f>
        <v>0621</v>
      </c>
      <c r="D37" s="3" t="str">
        <f>LEFT(Tabela10[[#This Row],[MB]],2)</f>
        <v>40</v>
      </c>
      <c r="E37" s="3" t="str">
        <f>LEFT(Tabela10[[#This Row],[ED]])</f>
        <v>0</v>
      </c>
      <c r="F37" s="6" t="s">
        <v>74</v>
      </c>
    </row>
    <row r="38" spans="2:6" x14ac:dyDescent="0.25">
      <c r="B38" s="7" t="s">
        <v>75</v>
      </c>
      <c r="C38" s="3" t="str">
        <f>RIGHT(Tabela10[[#This Row],[MB]],4)</f>
        <v>5001</v>
      </c>
      <c r="D38" s="3" t="str">
        <f>LEFT(Tabela10[[#This Row],[MB]],2)</f>
        <v>40</v>
      </c>
      <c r="E38" s="3" t="str">
        <f>LEFT(Tabela10[[#This Row],[ED]])</f>
        <v>5</v>
      </c>
      <c r="F38" s="3" t="s">
        <v>76</v>
      </c>
    </row>
    <row r="39" spans="2:6" x14ac:dyDescent="0.25">
      <c r="B39" s="7" t="s">
        <v>77</v>
      </c>
      <c r="C39" s="3" t="str">
        <f>RIGHT(Tabela10[[#This Row],[MB]],4)</f>
        <v>5002</v>
      </c>
      <c r="D39" s="3" t="str">
        <f>LEFT(Tabela10[[#This Row],[MB]],2)</f>
        <v>40</v>
      </c>
      <c r="E39" s="3" t="str">
        <f>LEFT(Tabela10[[#This Row],[ED]])</f>
        <v>5</v>
      </c>
      <c r="F39" s="3" t="s">
        <v>78</v>
      </c>
    </row>
    <row r="40" spans="2:6" x14ac:dyDescent="0.25">
      <c r="B40" s="7" t="s">
        <v>79</v>
      </c>
      <c r="C40" s="3" t="str">
        <f>RIGHT(Tabela10[[#This Row],[MB]],4)</f>
        <v>5003</v>
      </c>
      <c r="D40" s="3" t="str">
        <f>LEFT(Tabela10[[#This Row],[MB]],2)</f>
        <v>40</v>
      </c>
      <c r="E40" s="3" t="str">
        <f>LEFT(Tabela10[[#This Row],[ED]])</f>
        <v>5</v>
      </c>
      <c r="F40" s="3" t="s">
        <v>80</v>
      </c>
    </row>
    <row r="41" spans="2:6" x14ac:dyDescent="0.25">
      <c r="B41" s="7" t="s">
        <v>81</v>
      </c>
      <c r="C41" s="3" t="str">
        <f>RIGHT(Tabela10[[#This Row],[MB]],4)</f>
        <v>5004</v>
      </c>
      <c r="D41" s="3" t="str">
        <f>LEFT(Tabela10[[#This Row],[MB]],2)</f>
        <v>40</v>
      </c>
      <c r="E41" s="3" t="str">
        <f>LEFT(Tabela10[[#This Row],[ED]])</f>
        <v>5</v>
      </c>
      <c r="F41" s="3" t="s">
        <v>82</v>
      </c>
    </row>
    <row r="42" spans="2:6" x14ac:dyDescent="0.25">
      <c r="B42" s="7" t="s">
        <v>83</v>
      </c>
      <c r="C42" s="3" t="str">
        <f>RIGHT(Tabela10[[#This Row],[MB]],4)</f>
        <v>5005</v>
      </c>
      <c r="D42" s="3" t="str">
        <f>LEFT(Tabela10[[#This Row],[MB]],2)</f>
        <v>40</v>
      </c>
      <c r="E42" s="3" t="str">
        <f>LEFT(Tabela10[[#This Row],[ED]])</f>
        <v>5</v>
      </c>
      <c r="F42" s="3" t="s">
        <v>84</v>
      </c>
    </row>
    <row r="43" spans="2:6" x14ac:dyDescent="0.25">
      <c r="B43" s="7" t="s">
        <v>85</v>
      </c>
      <c r="C43" s="3" t="str">
        <f>RIGHT(Tabela10[[#This Row],[MB]],4)</f>
        <v>5011</v>
      </c>
      <c r="D43" s="3" t="str">
        <f>LEFT(Tabela10[[#This Row],[MB]],2)</f>
        <v>40</v>
      </c>
      <c r="E43" s="3" t="str">
        <f>LEFT(Tabela10[[#This Row],[ED]])</f>
        <v>5</v>
      </c>
      <c r="F43" s="3" t="s">
        <v>86</v>
      </c>
    </row>
    <row r="44" spans="2:6" x14ac:dyDescent="0.25">
      <c r="B44" s="7" t="s">
        <v>87</v>
      </c>
      <c r="C44" s="3" t="str">
        <f>RIGHT(Tabela10[[#This Row],[MB]],4)</f>
        <v>5012</v>
      </c>
      <c r="D44" s="3" t="str">
        <f>LEFT(Tabela10[[#This Row],[MB]],2)</f>
        <v>40</v>
      </c>
      <c r="E44" s="3" t="str">
        <f>LEFT(Tabela10[[#This Row],[ED]])</f>
        <v>5</v>
      </c>
      <c r="F44" s="3" t="s">
        <v>88</v>
      </c>
    </row>
    <row r="45" spans="2:6" x14ac:dyDescent="0.25">
      <c r="B45" s="7" t="s">
        <v>89</v>
      </c>
      <c r="C45" s="3" t="str">
        <f>RIGHT(Tabela10[[#This Row],[MB]],4)</f>
        <v>5013</v>
      </c>
      <c r="D45" s="3" t="str">
        <f>LEFT(Tabela10[[#This Row],[MB]],2)</f>
        <v>40</v>
      </c>
      <c r="E45" s="3" t="str">
        <f>LEFT(Tabela10[[#This Row],[ED]])</f>
        <v>5</v>
      </c>
      <c r="F45" s="3" t="s">
        <v>90</v>
      </c>
    </row>
    <row r="46" spans="2:6" x14ac:dyDescent="0.25">
      <c r="B46" s="7" t="s">
        <v>91</v>
      </c>
      <c r="C46" s="3" t="str">
        <f>RIGHT(Tabela10[[#This Row],[MB]],4)</f>
        <v>5014</v>
      </c>
      <c r="D46" s="3" t="str">
        <f>LEFT(Tabela10[[#This Row],[MB]],2)</f>
        <v>40</v>
      </c>
      <c r="E46" s="3" t="str">
        <f>LEFT(Tabela10[[#This Row],[ED]])</f>
        <v>5</v>
      </c>
      <c r="F46" s="3" t="s">
        <v>92</v>
      </c>
    </row>
    <row r="47" spans="2:6" x14ac:dyDescent="0.25">
      <c r="B47" s="7" t="s">
        <v>93</v>
      </c>
      <c r="C47" s="3" t="str">
        <f>RIGHT(Tabela10[[#This Row],[MB]],4)</f>
        <v>5015</v>
      </c>
      <c r="D47" s="3" t="str">
        <f>LEFT(Tabela10[[#This Row],[MB]],2)</f>
        <v>40</v>
      </c>
      <c r="E47" s="3" t="str">
        <f>LEFT(Tabela10[[#This Row],[ED]])</f>
        <v>5</v>
      </c>
      <c r="F47" s="3" t="s">
        <v>94</v>
      </c>
    </row>
    <row r="48" spans="2:6" x14ac:dyDescent="0.25">
      <c r="B48" s="7" t="s">
        <v>95</v>
      </c>
      <c r="C48" s="3" t="str">
        <f>RIGHT(Tabela10[[#This Row],[MB]],4)</f>
        <v>5016</v>
      </c>
      <c r="D48" s="3" t="str">
        <f>LEFT(Tabela10[[#This Row],[MB]],2)</f>
        <v>40</v>
      </c>
      <c r="E48" s="3" t="str">
        <f>LEFT(Tabela10[[#This Row],[ED]])</f>
        <v>5</v>
      </c>
      <c r="F48" s="3" t="s">
        <v>96</v>
      </c>
    </row>
    <row r="49" spans="2:6" x14ac:dyDescent="0.25">
      <c r="B49" s="7" t="s">
        <v>97</v>
      </c>
      <c r="C49" s="3" t="str">
        <f>RIGHT(Tabela10[[#This Row],[MB]],4)</f>
        <v>5111</v>
      </c>
      <c r="D49" s="3" t="str">
        <f>LEFT(Tabela10[[#This Row],[MB]],2)</f>
        <v>40</v>
      </c>
      <c r="E49" s="3" t="str">
        <f>LEFT(Tabela10[[#This Row],[ED]])</f>
        <v>5</v>
      </c>
      <c r="F49" s="3" t="s">
        <v>98</v>
      </c>
    </row>
    <row r="50" spans="2:6" x14ac:dyDescent="0.25">
      <c r="B50" s="7" t="s">
        <v>99</v>
      </c>
      <c r="C50" s="3" t="str">
        <f>RIGHT(Tabela10[[#This Row],[MB]],4)</f>
        <v>5112</v>
      </c>
      <c r="D50" s="3" t="str">
        <f>LEFT(Tabela10[[#This Row],[MB]],2)</f>
        <v>40</v>
      </c>
      <c r="E50" s="3" t="str">
        <f>LEFT(Tabela10[[#This Row],[ED]])</f>
        <v>5</v>
      </c>
      <c r="F50" s="3" t="s">
        <v>100</v>
      </c>
    </row>
    <row r="51" spans="2:6" x14ac:dyDescent="0.25">
      <c r="B51" s="7" t="s">
        <v>101</v>
      </c>
      <c r="C51" s="3" t="str">
        <f>RIGHT(Tabela10[[#This Row],[MB]],4)</f>
        <v>5121</v>
      </c>
      <c r="D51" s="3" t="str">
        <f>LEFT(Tabela10[[#This Row],[MB]],2)</f>
        <v>40</v>
      </c>
      <c r="E51" s="3" t="str">
        <f>LEFT(Tabela10[[#This Row],[ED]])</f>
        <v>5</v>
      </c>
      <c r="F51" s="3" t="s">
        <v>102</v>
      </c>
    </row>
    <row r="52" spans="2:6" x14ac:dyDescent="0.25">
      <c r="B52" s="7" t="s">
        <v>103</v>
      </c>
      <c r="C52" s="3" t="str">
        <f>RIGHT(Tabela10[[#This Row],[MB]],4)</f>
        <v>5122</v>
      </c>
      <c r="D52" s="3" t="str">
        <f>LEFT(Tabela10[[#This Row],[MB]],2)</f>
        <v>40</v>
      </c>
      <c r="E52" s="3" t="str">
        <f>LEFT(Tabela10[[#This Row],[ED]])</f>
        <v>5</v>
      </c>
      <c r="F52" s="3" t="s">
        <v>104</v>
      </c>
    </row>
    <row r="53" spans="2:6" x14ac:dyDescent="0.25">
      <c r="B53" s="7" t="s">
        <v>105</v>
      </c>
      <c r="C53" s="3" t="str">
        <f>RIGHT(Tabela10[[#This Row],[MB]],4)</f>
        <v>5211</v>
      </c>
      <c r="D53" s="3" t="str">
        <f>LEFT(Tabela10[[#This Row],[MB]],2)</f>
        <v>40</v>
      </c>
      <c r="E53" s="3" t="str">
        <f>LEFT(Tabela10[[#This Row],[ED]])</f>
        <v>5</v>
      </c>
      <c r="F53" s="3" t="s">
        <v>106</v>
      </c>
    </row>
    <row r="54" spans="2:6" x14ac:dyDescent="0.25">
      <c r="B54" s="7" t="s">
        <v>107</v>
      </c>
      <c r="C54" s="3" t="str">
        <f>RIGHT(Tabela10[[#This Row],[MB]],4)</f>
        <v>5212</v>
      </c>
      <c r="D54" s="3" t="str">
        <f>LEFT(Tabela10[[#This Row],[MB]],2)</f>
        <v>40</v>
      </c>
      <c r="E54" s="3" t="str">
        <f>LEFT(Tabela10[[#This Row],[ED]])</f>
        <v>5</v>
      </c>
      <c r="F54" s="3" t="s">
        <v>108</v>
      </c>
    </row>
    <row r="55" spans="2:6" x14ac:dyDescent="0.25">
      <c r="B55" s="7" t="s">
        <v>109</v>
      </c>
      <c r="C55" s="3" t="str">
        <f>RIGHT(Tabela10[[#This Row],[MB]],4)</f>
        <v>5213</v>
      </c>
      <c r="D55" s="3" t="str">
        <f>LEFT(Tabela10[[#This Row],[MB]],2)</f>
        <v>40</v>
      </c>
      <c r="E55" s="3" t="str">
        <f>LEFT(Tabela10[[#This Row],[ED]])</f>
        <v>5</v>
      </c>
      <c r="F55" s="3" t="s">
        <v>110</v>
      </c>
    </row>
    <row r="56" spans="2:6" x14ac:dyDescent="0.25">
      <c r="B56" s="7" t="s">
        <v>111</v>
      </c>
      <c r="C56" s="3" t="str">
        <f>RIGHT(Tabela10[[#This Row],[MB]],4)</f>
        <v>5311</v>
      </c>
      <c r="D56" s="3" t="str">
        <f>LEFT(Tabela10[[#This Row],[MB]],2)</f>
        <v>40</v>
      </c>
      <c r="E56" s="3" t="str">
        <f>LEFT(Tabela10[[#This Row],[ED]])</f>
        <v>5</v>
      </c>
      <c r="F56" s="3" t="s">
        <v>112</v>
      </c>
    </row>
    <row r="57" spans="2:6" x14ac:dyDescent="0.25">
      <c r="B57" s="7" t="s">
        <v>113</v>
      </c>
      <c r="C57" s="3" t="str">
        <f>RIGHT(Tabela10[[#This Row],[MB]],4)</f>
        <v>5312</v>
      </c>
      <c r="D57" s="3" t="str">
        <f>LEFT(Tabela10[[#This Row],[MB]],2)</f>
        <v>40</v>
      </c>
      <c r="E57" s="3" t="str">
        <f>LEFT(Tabela10[[#This Row],[ED]])</f>
        <v>5</v>
      </c>
      <c r="F57" s="3" t="s">
        <v>114</v>
      </c>
    </row>
    <row r="58" spans="2:6" x14ac:dyDescent="0.25">
      <c r="B58" s="7" t="s">
        <v>115</v>
      </c>
      <c r="C58" s="3" t="str">
        <f>RIGHT(Tabela10[[#This Row],[MB]],4)</f>
        <v>5313</v>
      </c>
      <c r="D58" s="3" t="str">
        <f>LEFT(Tabela10[[#This Row],[MB]],2)</f>
        <v>40</v>
      </c>
      <c r="E58" s="3" t="str">
        <f>LEFT(Tabela10[[#This Row],[ED]])</f>
        <v>5</v>
      </c>
      <c r="F58" s="3" t="s">
        <v>116</v>
      </c>
    </row>
    <row r="59" spans="2:6" x14ac:dyDescent="0.25">
      <c r="B59" s="7" t="s">
        <v>117</v>
      </c>
      <c r="C59" s="3" t="str">
        <f>RIGHT(Tabela10[[#This Row],[MB]],4)</f>
        <v>5611</v>
      </c>
      <c r="D59" s="3" t="str">
        <f>LEFT(Tabela10[[#This Row],[MB]],2)</f>
        <v>40</v>
      </c>
      <c r="E59" s="3" t="str">
        <f>LEFT(Tabela10[[#This Row],[ED]])</f>
        <v>5</v>
      </c>
      <c r="F59" s="6" t="s">
        <v>118</v>
      </c>
    </row>
    <row r="60" spans="2:6" x14ac:dyDescent="0.25">
      <c r="B60" s="7" t="s">
        <v>119</v>
      </c>
      <c r="C60" s="3" t="str">
        <f>RIGHT(Tabela10[[#This Row],[MB]],4)</f>
        <v>5612</v>
      </c>
      <c r="D60" s="3" t="str">
        <f>LEFT(Tabela10[[#This Row],[MB]],2)</f>
        <v>40</v>
      </c>
      <c r="E60" s="3" t="str">
        <f>LEFT(Tabela10[[#This Row],[ED]])</f>
        <v>5</v>
      </c>
      <c r="F60" s="6" t="s">
        <v>120</v>
      </c>
    </row>
    <row r="61" spans="2:6" x14ac:dyDescent="0.25">
      <c r="B61" s="7" t="s">
        <v>121</v>
      </c>
      <c r="C61" s="3" t="str">
        <f>RIGHT(Tabela10[[#This Row],[MB]],4)</f>
        <v>5621</v>
      </c>
      <c r="D61" s="3" t="str">
        <f>LEFT(Tabela10[[#This Row],[MB]],2)</f>
        <v>40</v>
      </c>
      <c r="E61" s="3" t="str">
        <f>LEFT(Tabela10[[#This Row],[ED]])</f>
        <v>5</v>
      </c>
      <c r="F61" s="6" t="s">
        <v>122</v>
      </c>
    </row>
    <row r="62" spans="2:6" x14ac:dyDescent="0.25">
      <c r="B62" s="7" t="s">
        <v>123</v>
      </c>
      <c r="C62" s="3" t="str">
        <f>RIGHT(Tabela10[[#This Row],[MB]],4)</f>
        <v>5622</v>
      </c>
      <c r="D62" s="3" t="str">
        <f>LEFT(Tabela10[[#This Row],[MB]],2)</f>
        <v>40</v>
      </c>
      <c r="E62" s="3" t="str">
        <f>LEFT(Tabela10[[#This Row],[ED]])</f>
        <v>5</v>
      </c>
      <c r="F62" s="6" t="s">
        <v>124</v>
      </c>
    </row>
  </sheetData>
  <conditionalFormatting sqref="F3:F1048576 F1">
    <cfRule type="duplicateValues" dxfId="245" priority="4"/>
  </conditionalFormatting>
  <conditionalFormatting sqref="B3:E1048576 B1:E1">
    <cfRule type="duplicateValues" dxfId="244" priority="3"/>
  </conditionalFormatting>
  <conditionalFormatting sqref="F2">
    <cfRule type="duplicateValues" dxfId="243" priority="2"/>
  </conditionalFormatting>
  <conditionalFormatting sqref="B2:E2">
    <cfRule type="duplicateValues" dxfId="242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45F4F-A62E-4838-8196-E65D165D37C9}">
  <dimension ref="A1:L6"/>
  <sheetViews>
    <sheetView zoomScale="235" zoomScaleNormal="235" workbookViewId="0">
      <selection sqref="A1:XFD1048576"/>
    </sheetView>
  </sheetViews>
  <sheetFormatPr defaultColWidth="9.140625" defaultRowHeight="15" x14ac:dyDescent="0.25"/>
  <cols>
    <col min="1" max="1" width="3" style="16" bestFit="1" customWidth="1"/>
    <col min="2" max="2" width="5.85546875" style="16" bestFit="1" customWidth="1"/>
    <col min="3" max="3" width="8.42578125" style="10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9.85546875" style="10" bestFit="1" customWidth="1"/>
    <col min="8" max="8" width="10.5703125" style="10" bestFit="1" customWidth="1"/>
    <col min="9" max="9" width="12" style="10" bestFit="1" customWidth="1"/>
    <col min="10" max="10" width="11.140625" style="10" bestFit="1" customWidth="1"/>
    <col min="11" max="11" width="12.5703125" style="10" bestFit="1" customWidth="1"/>
    <col min="12" max="12" width="3" style="16" bestFit="1" customWidth="1"/>
    <col min="13" max="13" width="27.140625" style="16" bestFit="1" customWidth="1"/>
    <col min="14" max="16384" width="9.140625" style="16"/>
  </cols>
  <sheetData>
    <row r="1" spans="1:12" x14ac:dyDescent="0.25">
      <c r="A1" s="15"/>
      <c r="B1" s="42">
        <v>53</v>
      </c>
      <c r="C1" s="10" t="str">
        <f>CONCATENATE("PF",RIGHT(B1,1))</f>
        <v>PF3</v>
      </c>
      <c r="L1" s="15"/>
    </row>
    <row r="2" spans="1:12" ht="16.5" thickBot="1" x14ac:dyDescent="0.3">
      <c r="B2" s="14" t="s">
        <v>139</v>
      </c>
      <c r="C2" s="11" t="s">
        <v>125</v>
      </c>
      <c r="D2" s="14" t="s">
        <v>2</v>
      </c>
      <c r="E2" s="14" t="s">
        <v>3</v>
      </c>
      <c r="F2" s="20" t="s">
        <v>126</v>
      </c>
      <c r="G2" s="11" t="s">
        <v>140</v>
      </c>
      <c r="H2" s="14" t="s">
        <v>141</v>
      </c>
      <c r="I2" s="14" t="s">
        <v>142</v>
      </c>
      <c r="J2" s="14" t="s">
        <v>143</v>
      </c>
      <c r="K2" s="14" t="s">
        <v>144</v>
      </c>
    </row>
    <row r="3" spans="1:12" ht="15.75" x14ac:dyDescent="0.25">
      <c r="B3" s="12" t="s">
        <v>216</v>
      </c>
      <c r="C3" s="7" t="s">
        <v>223</v>
      </c>
      <c r="D3" s="10" t="s">
        <v>154</v>
      </c>
      <c r="E3" s="12" t="s">
        <v>132</v>
      </c>
      <c r="F3" s="12">
        <v>1</v>
      </c>
      <c r="G3" s="30" t="str">
        <f>CONCATENATE($C$1,"_",Tabela8151720[[#This Row],[TG]])</f>
        <v>PF3_LB</v>
      </c>
      <c r="H3" s="30" t="str">
        <f>IF(Tabela8151720[[#This Row],[R|W]]="D","-",CONCATENATE(IF(Tabela8151720[[#This Row],[B|N]]="Inteira","40","00"),IF(Tabela8151720[[#This Row],[R|W]]="W","5","0"),$B$1,Tabela8151720[[#This Row],[N]]))</f>
        <v>000531</v>
      </c>
      <c r="I3" s="30" t="str">
        <f>CONCATENATE($C$1,".",Tabela8151720[[#This Row],[EV]])</f>
        <v>PF3.Libera</v>
      </c>
      <c r="J3" s="30" t="str">
        <f>IF(Tabela8151720[[#This Row],[R|W]]="D","-",CONCATENATE(IF(Tabela8151720[[#This Row],[R|W]]="W","5","0"),$B$1,Tabela8151720[[#This Row],[N]]))</f>
        <v>0531</v>
      </c>
    </row>
    <row r="4" spans="1:12" ht="15.75" x14ac:dyDescent="0.25">
      <c r="B4" s="12" t="s">
        <v>222</v>
      </c>
      <c r="C4" s="7" t="s">
        <v>224</v>
      </c>
      <c r="D4" s="10" t="s">
        <v>154</v>
      </c>
      <c r="E4" s="12" t="s">
        <v>132</v>
      </c>
      <c r="F4" s="12">
        <v>2</v>
      </c>
      <c r="G4" s="30" t="str">
        <f>CONCATENATE($C$1,"_",Tabela8151720[[#This Row],[TG]])</f>
        <v>PF3_RT</v>
      </c>
      <c r="H4" s="30" t="str">
        <f>IF(Tabela8151720[[#This Row],[R|W]]="D","-",CONCATENATE(IF(Tabela8151720[[#This Row],[B|N]]="Inteira","40","00"),IF(Tabela8151720[[#This Row],[R|W]]="W","5","0"),$B$1,Tabela8151720[[#This Row],[N]]))</f>
        <v>000532</v>
      </c>
      <c r="I4" s="30" t="str">
        <f>CONCATENATE($C$1,".",Tabela8151720[[#This Row],[EV]])</f>
        <v>PF3.Retorno</v>
      </c>
      <c r="J4" s="30" t="str">
        <f>IF(Tabela8151720[[#This Row],[R|W]]="D","-",CONCATENATE(IF(Tabela8151720[[#This Row],[R|W]]="W","5","0"),$B$1,Tabela8151720[[#This Row],[N]]))</f>
        <v>0532</v>
      </c>
    </row>
    <row r="5" spans="1:12" ht="15.75" x14ac:dyDescent="0.25">
      <c r="B5" s="2" t="s">
        <v>190</v>
      </c>
      <c r="C5" s="7" t="s">
        <v>220</v>
      </c>
      <c r="D5" s="10" t="s">
        <v>149</v>
      </c>
      <c r="E5" s="12" t="s">
        <v>132</v>
      </c>
      <c r="F5" s="18">
        <v>1</v>
      </c>
      <c r="G5" s="10" t="str">
        <f>CONCATENATE($C$1,"_",Tabela8151720[[#This Row],[TG]])</f>
        <v>PF3_NM</v>
      </c>
      <c r="H5" s="10" t="str">
        <f>IF(Tabela8151720[[#This Row],[R|W]]="D","-",CONCATENATE(IF(Tabela8151720[[#This Row],[B|N]]="Inteira","40","00"),IF(Tabela8151720[[#This Row],[R|W]]="W","5","0"),$B$1,Tabela8151720[[#This Row],[N]]))</f>
        <v>400531</v>
      </c>
      <c r="I5" s="10" t="str">
        <f>CONCATENATE($C$1,".",Tabela8151720[[#This Row],[EV]])</f>
        <v>PF3.Numero</v>
      </c>
      <c r="J5" s="10" t="str">
        <f>IF(Tabela8151720[[#This Row],[R|W]]="D","-",CONCATENATE(IF(Tabela8151720[[#This Row],[R|W]]="W","5","0"),$B$1,Tabela8151720[[#This Row],[N]]))</f>
        <v>0531</v>
      </c>
    </row>
    <row r="6" spans="1:12" ht="15.75" x14ac:dyDescent="0.25">
      <c r="B6" s="6" t="s">
        <v>191</v>
      </c>
      <c r="C6" s="7" t="s">
        <v>221</v>
      </c>
      <c r="D6" s="10" t="s">
        <v>149</v>
      </c>
      <c r="E6" s="12" t="s">
        <v>132</v>
      </c>
      <c r="F6" s="18">
        <v>2</v>
      </c>
      <c r="G6" s="10" t="str">
        <f>CONCATENATE($C$1,"_",Tabela8151720[[#This Row],[TG]])</f>
        <v>PF3_TK</v>
      </c>
      <c r="H6" s="10" t="str">
        <f>IF(Tabela8151720[[#This Row],[R|W]]="D","-",CONCATENATE(IF(Tabela8151720[[#This Row],[B|N]]="Inteira","40","00"),IF(Tabela8151720[[#This Row],[R|W]]="W","5","0"),$B$1,Tabela8151720[[#This Row],[N]]))</f>
        <v>400532</v>
      </c>
      <c r="I6" s="10" t="str">
        <f>CONCATENATE($C$1,".",Tabela8151720[[#This Row],[EV]])</f>
        <v>PF3.Torque</v>
      </c>
      <c r="J6" s="10" t="str">
        <f>IF(Tabela8151720[[#This Row],[R|W]]="D","-",CONCATENATE(IF(Tabela8151720[[#This Row],[R|W]]="W","5","0"),$B$1,Tabela8151720[[#This Row],[N]]))</f>
        <v>0532</v>
      </c>
    </row>
  </sheetData>
  <phoneticPr fontId="1" type="noConversion"/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16E7-99E3-47DA-8D93-99218CFD2750}">
  <dimension ref="A1:L17"/>
  <sheetViews>
    <sheetView zoomScale="190" zoomScaleNormal="190" workbookViewId="0">
      <selection activeCell="H21" sqref="H21"/>
    </sheetView>
  </sheetViews>
  <sheetFormatPr defaultColWidth="9.140625" defaultRowHeight="15" x14ac:dyDescent="0.25"/>
  <cols>
    <col min="1" max="1" width="3" style="16" bestFit="1" customWidth="1"/>
    <col min="2" max="2" width="5.85546875" style="16" bestFit="1" customWidth="1"/>
    <col min="3" max="3" width="16.42578125" style="10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21.140625" style="10" bestFit="1" customWidth="1"/>
    <col min="8" max="8" width="10.5703125" style="10" bestFit="1" customWidth="1"/>
    <col min="9" max="9" width="20.7109375" style="10" bestFit="1" customWidth="1"/>
    <col min="10" max="10" width="11.140625" style="10" bestFit="1" customWidth="1"/>
    <col min="11" max="11" width="12.5703125" style="10" bestFit="1" customWidth="1"/>
    <col min="12" max="12" width="3" style="16" bestFit="1" customWidth="1"/>
    <col min="13" max="13" width="27.140625" style="16" bestFit="1" customWidth="1"/>
    <col min="14" max="16384" width="9.140625" style="16"/>
  </cols>
  <sheetData>
    <row r="1" spans="1:12" x14ac:dyDescent="0.25">
      <c r="A1" s="15"/>
      <c r="B1" s="42" t="s">
        <v>246</v>
      </c>
      <c r="C1" s="10" t="s">
        <v>127</v>
      </c>
      <c r="L1" s="15"/>
    </row>
    <row r="2" spans="1:12" ht="16.5" thickBot="1" x14ac:dyDescent="0.3">
      <c r="B2" s="14" t="s">
        <v>139</v>
      </c>
      <c r="C2" s="11" t="s">
        <v>125</v>
      </c>
      <c r="D2" s="14" t="s">
        <v>2</v>
      </c>
      <c r="E2" s="14" t="s">
        <v>3</v>
      </c>
      <c r="F2" s="20" t="s">
        <v>126</v>
      </c>
      <c r="G2" s="11" t="s">
        <v>140</v>
      </c>
      <c r="H2" s="14" t="s">
        <v>141</v>
      </c>
      <c r="I2" s="14" t="s">
        <v>142</v>
      </c>
      <c r="J2" s="14" t="s">
        <v>143</v>
      </c>
      <c r="K2" s="14" t="s">
        <v>144</v>
      </c>
    </row>
    <row r="3" spans="1:12" hidden="1" x14ac:dyDescent="0.25">
      <c r="B3" s="2"/>
      <c r="C3" t="s">
        <v>147</v>
      </c>
      <c r="D3" t="s">
        <v>154</v>
      </c>
      <c r="E3" s="12" t="s">
        <v>132</v>
      </c>
      <c r="F3" s="18">
        <v>1</v>
      </c>
      <c r="G3" s="10" t="str">
        <f>CONCATENATE($C$1,"_",Tabela81517203[[#This Row],[EV]])</f>
        <v>IHM_Salvar</v>
      </c>
      <c r="H3" s="10" t="str">
        <f>IF(Tabela81517203[[#This Row],[R|W]]="D","-",CONCATENATE(IF(Tabela81517203[[#This Row],[B|N]]="Inteira","40","00"),IF(Tabela81517203[[#This Row],[R|W]]="W","5","0"),$B$1,Tabela81517203[[#This Row],[N]]))</f>
        <v>000001</v>
      </c>
      <c r="I3" s="10" t="str">
        <f>CONCATENATE($C$1,".",Tabela81517203[[#This Row],[EV]])</f>
        <v>IHM.Salvar</v>
      </c>
      <c r="J3" s="10" t="str">
        <f>IF(Tabela81517203[[#This Row],[R|W]]="D","-",CONCATENATE(IF(Tabela81517203[[#This Row],[R|W]]="W","5","0"),$B$1,Tabela81517203[[#This Row],[N]]))</f>
        <v>0001</v>
      </c>
    </row>
    <row r="4" spans="1:12" ht="15.75" hidden="1" x14ac:dyDescent="0.25">
      <c r="B4" s="6"/>
      <c r="C4" t="s">
        <v>130</v>
      </c>
      <c r="D4" t="s">
        <v>154</v>
      </c>
      <c r="E4" s="12" t="s">
        <v>129</v>
      </c>
      <c r="F4" s="18">
        <v>1</v>
      </c>
      <c r="G4" s="10" t="str">
        <f>CONCATENATE($C$1,"_",Tabela81517203[[#This Row],[EV]])</f>
        <v>IHM_AlarmeReset</v>
      </c>
      <c r="H4" s="10" t="str">
        <f>IF(Tabela81517203[[#This Row],[R|W]]="D","-",CONCATENATE(IF(Tabela81517203[[#This Row],[B|N]]="Inteira","40","00"),IF(Tabela81517203[[#This Row],[R|W]]="W","5","0"),$B$1,Tabela81517203[[#This Row],[N]]))</f>
        <v>005001</v>
      </c>
      <c r="I4" s="10" t="str">
        <f>CONCATENATE($C$1,".",Tabela81517203[[#This Row],[EV]])</f>
        <v>IHM.AlarmeReset</v>
      </c>
      <c r="J4" s="44" t="str">
        <f>IF(Tabela81517203[[#This Row],[R|W]]="D","-",CONCATENATE(IF(Tabela81517203[[#This Row],[R|W]]="W","5","0"),$B$1,Tabela81517203[[#This Row],[N]]))</f>
        <v>5001</v>
      </c>
    </row>
    <row r="5" spans="1:12" hidden="1" x14ac:dyDescent="0.25">
      <c r="B5" s="12"/>
      <c r="C5" t="s">
        <v>128</v>
      </c>
      <c r="D5" t="s">
        <v>154</v>
      </c>
      <c r="E5" s="12" t="s">
        <v>129</v>
      </c>
      <c r="F5" s="12">
        <v>2</v>
      </c>
      <c r="G5" s="30" t="str">
        <f>CONCATENATE($C$1,"_",Tabela81517203[[#This Row],[EV]])</f>
        <v>IHM_DispositivoLibera</v>
      </c>
      <c r="H5" s="30" t="str">
        <f>IF(Tabela81517203[[#This Row],[R|W]]="D","-",CONCATENATE(IF(Tabela81517203[[#This Row],[B|N]]="Inteira","40","00"),IF(Tabela81517203[[#This Row],[R|W]]="W","5","0"),$B$1,Tabela81517203[[#This Row],[N]]))</f>
        <v>005002</v>
      </c>
      <c r="I5" s="30" t="str">
        <f>CONCATENATE($C$1,".",Tabela81517203[[#This Row],[EV]])</f>
        <v>IHM.DispositivoLibera</v>
      </c>
      <c r="J5" s="45" t="str">
        <f>IF(Tabela81517203[[#This Row],[R|W]]="D","-",CONCATENATE(IF(Tabela81517203[[#This Row],[R|W]]="W","5","0"),$B$1,Tabela81517203[[#This Row],[N]]))</f>
        <v>5002</v>
      </c>
    </row>
    <row r="6" spans="1:12" hidden="1" x14ac:dyDescent="0.25">
      <c r="B6" s="12"/>
      <c r="C6" t="s">
        <v>218</v>
      </c>
      <c r="D6" t="s">
        <v>154</v>
      </c>
      <c r="E6" s="12" t="s">
        <v>129</v>
      </c>
      <c r="F6" s="12">
        <v>3</v>
      </c>
      <c r="G6" s="30" t="str">
        <f>CONCATENATE($C$1,"_",Tabela81517203[[#This Row],[EV]])</f>
        <v>IHM_Imprime</v>
      </c>
      <c r="H6" s="30" t="str">
        <f>IF(Tabela81517203[[#This Row],[R|W]]="D","-",CONCATENATE(IF(Tabela81517203[[#This Row],[B|N]]="Inteira","40","00"),IF(Tabela81517203[[#This Row],[R|W]]="W","5","0"),$B$1,Tabela81517203[[#This Row],[N]]))</f>
        <v>005003</v>
      </c>
      <c r="I6" s="30" t="str">
        <f>CONCATENATE($C$1,".",Tabela81517203[[#This Row],[EV]])</f>
        <v>IHM.Imprime</v>
      </c>
      <c r="J6" s="45" t="str">
        <f>IF(Tabela81517203[[#This Row],[R|W]]="D","-",CONCATENATE(IF(Tabela81517203[[#This Row],[R|W]]="W","5","0"),$B$1,Tabela81517203[[#This Row],[N]]))</f>
        <v>5003</v>
      </c>
    </row>
    <row r="7" spans="1:12" x14ac:dyDescent="0.25">
      <c r="B7" s="12"/>
      <c r="C7" t="s">
        <v>131</v>
      </c>
      <c r="D7" t="s">
        <v>149</v>
      </c>
      <c r="E7" s="12" t="s">
        <v>132</v>
      </c>
      <c r="F7" s="12">
        <v>1</v>
      </c>
      <c r="G7" s="30" t="str">
        <f>CONCATENATE($C$1,"_",Tabela81517203[[#This Row],[EV]])</f>
        <v>IHM_AlarmeNumero</v>
      </c>
      <c r="H7" s="30" t="str">
        <f>IF(Tabela81517203[[#This Row],[R|W]]="D","-",CONCATENATE(IF(Tabela81517203[[#This Row],[B|N]]="Inteira","40","00"),IF(Tabela81517203[[#This Row],[R|W]]="W","5","0"),$B$1,Tabela81517203[[#This Row],[N]]))</f>
        <v>400001</v>
      </c>
      <c r="I7" s="30" t="str">
        <f>CONCATENATE($C$1,".",Tabela81517203[[#This Row],[EV]])</f>
        <v>IHM.AlarmeNumero</v>
      </c>
      <c r="J7" s="30" t="str">
        <f>IF(Tabela81517203[[#This Row],[R|W]]="D","-",CONCATENATE(IF(Tabela81517203[[#This Row],[R|W]]="W","5","0"),$B$1,Tabela81517203[[#This Row],[N]]))</f>
        <v>0001</v>
      </c>
    </row>
    <row r="8" spans="1:12" x14ac:dyDescent="0.25">
      <c r="B8" s="12"/>
      <c r="C8" t="s">
        <v>217</v>
      </c>
      <c r="D8" t="s">
        <v>149</v>
      </c>
      <c r="E8" s="12" t="s">
        <v>132</v>
      </c>
      <c r="F8" s="12">
        <v>2</v>
      </c>
      <c r="G8" s="30" t="str">
        <f>CONCATENATE($C$1,"_",Tabela81517203[[#This Row],[EV]])</f>
        <v>IHM_ProducaoAtual</v>
      </c>
      <c r="H8" s="30" t="str">
        <f>IF(Tabela81517203[[#This Row],[R|W]]="D","-",CONCATENATE(IF(Tabela81517203[[#This Row],[B|N]]="Inteira","40","00"),IF(Tabela81517203[[#This Row],[R|W]]="W","5","0"),$B$1,Tabela81517203[[#This Row],[N]]))</f>
        <v>400002</v>
      </c>
      <c r="I8" s="30" t="str">
        <f>CONCATENATE($C$1,".",Tabela81517203[[#This Row],[EV]])</f>
        <v>IHM.ProducaoAtual</v>
      </c>
      <c r="J8" s="30" t="str">
        <f>IF(Tabela81517203[[#This Row],[R|W]]="D","-",CONCATENATE(IF(Tabela81517203[[#This Row],[R|W]]="W","5","0"),$B$1,Tabela81517203[[#This Row],[N]]))</f>
        <v>0002</v>
      </c>
    </row>
    <row r="9" spans="1:12" hidden="1" x14ac:dyDescent="0.25">
      <c r="B9" s="12"/>
      <c r="C9" t="s">
        <v>236</v>
      </c>
      <c r="D9" t="s">
        <v>234</v>
      </c>
      <c r="E9" s="12" t="s">
        <v>150</v>
      </c>
      <c r="F9" s="12">
        <v>2</v>
      </c>
      <c r="G9" s="30" t="str">
        <f>CONCATENATE($C$1,"_",Tabela81517203[[#This Row],[EV]])</f>
        <v>IHM_Ordem</v>
      </c>
      <c r="H9" s="30" t="str">
        <f>IF(Tabela81517203[[#This Row],[R|W]]="D","-",CONCATENATE(IF(Tabela81517203[[#This Row],[B|N]]="Inteira","40","00"),IF(Tabela81517203[[#This Row],[R|W]]="W","5","0"),$B$1,Tabela81517203[[#This Row],[N]]))</f>
        <v>-</v>
      </c>
      <c r="I9" s="30" t="str">
        <f>CONCATENATE($C$1,".",Tabela81517203[[#This Row],[EV]])</f>
        <v>IHM.Ordem</v>
      </c>
      <c r="J9" s="30" t="str">
        <f>IF(Tabela81517203[[#This Row],[R|W]]="D","-",CONCATENATE(IF(Tabela81517203[[#This Row],[R|W]]="W","5","0"),$B$1,Tabela81517203[[#This Row],[N]]))</f>
        <v>-</v>
      </c>
    </row>
    <row r="10" spans="1:12" x14ac:dyDescent="0.25">
      <c r="B10" s="12"/>
      <c r="C10" t="s">
        <v>303</v>
      </c>
      <c r="D10" t="s">
        <v>149</v>
      </c>
      <c r="E10" s="12" t="s">
        <v>132</v>
      </c>
      <c r="F10" s="12">
        <v>3</v>
      </c>
      <c r="G10" s="30" t="str">
        <f>CONCATENATE($C$1,"_",Tabela81517203[[#This Row],[EV]])</f>
        <v>IHM_TrackNumber</v>
      </c>
      <c r="H10" s="30" t="str">
        <f>IF(Tabela81517203[[#This Row],[R|W]]="D","-",CONCATENATE(IF(Tabela81517203[[#This Row],[B|N]]="Inteira","40","00"),IF(Tabela81517203[[#This Row],[R|W]]="W","5","0"),$B$1,Tabela81517203[[#This Row],[N]]))</f>
        <v>400003</v>
      </c>
      <c r="I10" s="30" t="str">
        <f>CONCATENATE($C$1,".",Tabela81517203[[#This Row],[EV]])</f>
        <v>IHM.TrackNumber</v>
      </c>
      <c r="J10" s="30" t="str">
        <f>IF(Tabela81517203[[#This Row],[R|W]]="D","-",CONCATENATE(IF(Tabela81517203[[#This Row],[R|W]]="W","5","0"),$B$1,Tabela81517203[[#This Row],[N]]))</f>
        <v>0003</v>
      </c>
    </row>
    <row r="11" spans="1:12" x14ac:dyDescent="0.25">
      <c r="B11" s="12"/>
      <c r="C11" t="s">
        <v>133</v>
      </c>
      <c r="D11" t="s">
        <v>149</v>
      </c>
      <c r="E11" s="12" t="s">
        <v>129</v>
      </c>
      <c r="F11" s="12">
        <v>1</v>
      </c>
      <c r="G11" s="30" t="str">
        <f>CONCATENATE($C$1,"_",Tabela81517203[[#This Row],[EV]])</f>
        <v>IHM_Modelo</v>
      </c>
      <c r="H11" s="30" t="str">
        <f>IF(Tabela81517203[[#This Row],[R|W]]="D","-",CONCATENATE(IF(Tabela81517203[[#This Row],[B|N]]="Inteira","40","00"),IF(Tabela81517203[[#This Row],[R|W]]="W","5","0"),$B$1,Tabela81517203[[#This Row],[N]]))</f>
        <v>405001</v>
      </c>
      <c r="I11" s="30" t="str">
        <f>CONCATENATE($C$1,".",Tabela81517203[[#This Row],[EV]])</f>
        <v>IHM.Modelo</v>
      </c>
      <c r="J11" s="30" t="str">
        <f>IF(Tabela81517203[[#This Row],[R|W]]="D","-",CONCATENATE(IF(Tabela81517203[[#This Row],[R|W]]="W","5","0"),$B$1,Tabela81517203[[#This Row],[N]]))</f>
        <v>5001</v>
      </c>
    </row>
    <row r="12" spans="1:12" x14ac:dyDescent="0.25">
      <c r="B12" s="12"/>
      <c r="C12" t="s">
        <v>136</v>
      </c>
      <c r="D12" t="s">
        <v>149</v>
      </c>
      <c r="E12" s="12" t="s">
        <v>129</v>
      </c>
      <c r="F12" s="12">
        <v>2</v>
      </c>
      <c r="G12" s="30" t="str">
        <f>CONCATENATE($C$1,"_",Tabela81517203[[#This Row],[EV]])</f>
        <v>IHM_Operador</v>
      </c>
      <c r="H12" s="30" t="str">
        <f>IF(Tabela81517203[[#This Row],[R|W]]="D","-",CONCATENATE(IF(Tabela81517203[[#This Row],[B|N]]="Inteira","40","00"),IF(Tabela81517203[[#This Row],[R|W]]="W","5","0"),$B$1,Tabela81517203[[#This Row],[N]]))</f>
        <v>405002</v>
      </c>
      <c r="I12" s="30" t="str">
        <f>CONCATENATE($C$1,".",Tabela81517203[[#This Row],[EV]])</f>
        <v>IHM.Operador</v>
      </c>
      <c r="J12" s="30" t="str">
        <f>IF(Tabela81517203[[#This Row],[R|W]]="D","-",CONCATENATE(IF(Tabela81517203[[#This Row],[R|W]]="W","5","0"),$B$1,Tabela81517203[[#This Row],[N]]))</f>
        <v>5002</v>
      </c>
    </row>
    <row r="13" spans="1:12" x14ac:dyDescent="0.25">
      <c r="B13" s="12"/>
      <c r="C13" t="s">
        <v>134</v>
      </c>
      <c r="D13" t="s">
        <v>149</v>
      </c>
      <c r="E13" s="12" t="s">
        <v>129</v>
      </c>
      <c r="F13" s="12">
        <v>3</v>
      </c>
      <c r="G13" s="30" t="str">
        <f>CONCATENATE($C$1,"_",Tabela81517203[[#This Row],[EV]])</f>
        <v>IHM_Ordem1</v>
      </c>
      <c r="H13" s="30" t="str">
        <f>IF(Tabela81517203[[#This Row],[R|W]]="D","-",CONCATENATE(IF(Tabela81517203[[#This Row],[B|N]]="Inteira","40","00"),IF(Tabela81517203[[#This Row],[R|W]]="W","5","0"),$B$1,Tabela81517203[[#This Row],[N]]))</f>
        <v>405003</v>
      </c>
      <c r="I13" s="30" t="str">
        <f>CONCATENATE($C$1,".",Tabela81517203[[#This Row],[EV]])</f>
        <v>IHM.Ordem1</v>
      </c>
      <c r="J13" s="30" t="str">
        <f>IF(Tabela81517203[[#This Row],[R|W]]="D","-",CONCATENATE(IF(Tabela81517203[[#This Row],[R|W]]="W","5","0"),$B$1,Tabela81517203[[#This Row],[N]]))</f>
        <v>5003</v>
      </c>
    </row>
    <row r="14" spans="1:12" x14ac:dyDescent="0.25">
      <c r="B14" s="12"/>
      <c r="C14" t="s">
        <v>135</v>
      </c>
      <c r="D14" t="s">
        <v>149</v>
      </c>
      <c r="E14" s="12" t="s">
        <v>129</v>
      </c>
      <c r="F14" s="12">
        <v>4</v>
      </c>
      <c r="G14" s="30" t="str">
        <f>CONCATENATE($C$1,"_",Tabela81517203[[#This Row],[EV]])</f>
        <v>IHM_Ordem2</v>
      </c>
      <c r="H14" s="30" t="str">
        <f>IF(Tabela81517203[[#This Row],[R|W]]="D","-",CONCATENATE(IF(Tabela81517203[[#This Row],[B|N]]="Inteira","40","00"),IF(Tabela81517203[[#This Row],[R|W]]="W","5","0"),$B$1,Tabela81517203[[#This Row],[N]]))</f>
        <v>405004</v>
      </c>
      <c r="I14" s="30" t="str">
        <f>CONCATENATE($C$1,".",Tabela81517203[[#This Row],[EV]])</f>
        <v>IHM.Ordem2</v>
      </c>
      <c r="J14" s="30" t="str">
        <f>IF(Tabela81517203[[#This Row],[R|W]]="D","-",CONCATENATE(IF(Tabela81517203[[#This Row],[R|W]]="W","5","0"),$B$1,Tabela81517203[[#This Row],[N]]))</f>
        <v>5004</v>
      </c>
    </row>
    <row r="15" spans="1:12" hidden="1" x14ac:dyDescent="0.25">
      <c r="B15" s="12"/>
      <c r="C15" t="s">
        <v>233</v>
      </c>
      <c r="D15" t="s">
        <v>234</v>
      </c>
      <c r="E15" s="18" t="s">
        <v>150</v>
      </c>
      <c r="F15" s="12">
        <v>1</v>
      </c>
      <c r="G15" s="30" t="str">
        <f>CONCATENATE($C$1,"_",Tabela81517203[[#This Row],[EV]])</f>
        <v>IHM_Senha</v>
      </c>
      <c r="H15" s="30" t="str">
        <f>IF(Tabela81517203[[#This Row],[R|W]]="D","-",CONCATENATE(IF(Tabela81517203[[#This Row],[B|N]]="Inteira","40","00"),IF(Tabela81517203[[#This Row],[R|W]]="W","5","0"),$B$1,Tabela81517203[[#This Row],[N]]))</f>
        <v>-</v>
      </c>
      <c r="I15" s="30" t="str">
        <f>CONCATENATE($C$1,".",Tabela81517203[[#This Row],[EV]])</f>
        <v>IHM.Senha</v>
      </c>
      <c r="J15" s="30" t="str">
        <f>IF(Tabela81517203[[#This Row],[R|W]]="D","-",CONCATENATE(IF(Tabela81517203[[#This Row],[R|W]]="W","5","0"),$B$1,Tabela81517203[[#This Row],[N]]))</f>
        <v>-</v>
      </c>
    </row>
    <row r="16" spans="1:12" x14ac:dyDescent="0.25">
      <c r="B16" s="12"/>
      <c r="C16" t="s">
        <v>137</v>
      </c>
      <c r="D16" t="s">
        <v>149</v>
      </c>
      <c r="E16" s="12" t="s">
        <v>129</v>
      </c>
      <c r="F16" s="12">
        <v>5</v>
      </c>
      <c r="G16" s="30" t="str">
        <f>CONCATENATE($C$1,"_",Tabela81517203[[#This Row],[EV]])</f>
        <v>IHM_ProducaoAlvo</v>
      </c>
      <c r="H16" s="30" t="str">
        <f>IF(Tabela81517203[[#This Row],[R|W]]="D","-",CONCATENATE(IF(Tabela81517203[[#This Row],[B|N]]="Inteira","40","00"),IF(Tabela81517203[[#This Row],[R|W]]="W","5","0"),$B$1,Tabela81517203[[#This Row],[N]]))</f>
        <v>405005</v>
      </c>
      <c r="I16" s="30" t="str">
        <f>CONCATENATE($C$1,".",Tabela81517203[[#This Row],[EV]])</f>
        <v>IHM.ProducaoAlvo</v>
      </c>
      <c r="J16" s="30" t="str">
        <f>IF(Tabela81517203[[#This Row],[R|W]]="D","-",CONCATENATE(IF(Tabela81517203[[#This Row],[R|W]]="W","5","0"),$B$1,Tabela81517203[[#This Row],[N]]))</f>
        <v>5005</v>
      </c>
    </row>
    <row r="17" spans="2:10" x14ac:dyDescent="0.25">
      <c r="B17" s="12"/>
      <c r="C17" t="s">
        <v>235</v>
      </c>
      <c r="D17" t="s">
        <v>149</v>
      </c>
      <c r="E17" s="12" t="s">
        <v>129</v>
      </c>
      <c r="F17" s="12">
        <v>6</v>
      </c>
      <c r="G17" s="30" t="str">
        <f>CONCATENATE($C$1,"_",Tabela81517203[[#This Row],[EV]])</f>
        <v>IHM_Tipo</v>
      </c>
      <c r="H17" s="30" t="str">
        <f>IF(Tabela81517203[[#This Row],[R|W]]="D","-",CONCATENATE(IF(Tabela81517203[[#This Row],[B|N]]="Inteira","40","00"),IF(Tabela81517203[[#This Row],[R|W]]="W","5","0"),$B$1,Tabela81517203[[#This Row],[N]]))</f>
        <v>405006</v>
      </c>
      <c r="I17" s="30" t="str">
        <f>CONCATENATE($C$1,".",Tabela81517203[[#This Row],[EV]])</f>
        <v>IHM.Tipo</v>
      </c>
      <c r="J17" s="30" t="str">
        <f>IF(Tabela81517203[[#This Row],[R|W]]="D","-",CONCATENATE(IF(Tabela81517203[[#This Row],[R|W]]="W","5","0"),$B$1,Tabela81517203[[#This Row],[N]]))</f>
        <v>5006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0B92-2C09-455B-8927-244FEEE82B0F}">
  <dimension ref="A1:L12"/>
  <sheetViews>
    <sheetView zoomScale="205" zoomScaleNormal="205" workbookViewId="0">
      <selection activeCell="E13" sqref="E13"/>
    </sheetView>
  </sheetViews>
  <sheetFormatPr defaultColWidth="9.140625" defaultRowHeight="15" x14ac:dyDescent="0.25"/>
  <cols>
    <col min="1" max="1" width="3" style="16" bestFit="1" customWidth="1"/>
    <col min="2" max="2" width="5.85546875" style="16" bestFit="1" customWidth="1"/>
    <col min="3" max="4" width="9.28515625" style="10" bestFit="1" customWidth="1"/>
    <col min="5" max="5" width="7.85546875" style="16" bestFit="1" customWidth="1"/>
    <col min="6" max="6" width="4.85546875" style="16" bestFit="1" customWidth="1"/>
    <col min="7" max="7" width="14" style="10" bestFit="1" customWidth="1"/>
    <col min="8" max="8" width="10.5703125" style="10" bestFit="1" customWidth="1"/>
    <col min="9" max="9" width="13.7109375" style="10" bestFit="1" customWidth="1"/>
    <col min="10" max="10" width="11.140625" style="10" bestFit="1" customWidth="1"/>
    <col min="11" max="11" width="12.5703125" style="10" bestFit="1" customWidth="1"/>
    <col min="12" max="12" width="3" style="16" bestFit="1" customWidth="1"/>
    <col min="13" max="13" width="27.140625" style="16" bestFit="1" customWidth="1"/>
    <col min="14" max="16384" width="9.140625" style="16"/>
  </cols>
  <sheetData>
    <row r="1" spans="1:12" x14ac:dyDescent="0.25">
      <c r="A1" s="15"/>
      <c r="B1" s="16">
        <v>61</v>
      </c>
      <c r="C1" s="10" t="s">
        <v>215</v>
      </c>
      <c r="L1" s="15"/>
    </row>
    <row r="2" spans="1:12" ht="16.5" thickBot="1" x14ac:dyDescent="0.3">
      <c r="B2" s="14" t="s">
        <v>139</v>
      </c>
      <c r="C2" s="11" t="s">
        <v>125</v>
      </c>
      <c r="D2" s="14" t="s">
        <v>2</v>
      </c>
      <c r="E2" s="14" t="s">
        <v>3</v>
      </c>
      <c r="F2" s="20" t="s">
        <v>126</v>
      </c>
      <c r="G2" s="11" t="s">
        <v>140</v>
      </c>
      <c r="H2" s="14" t="s">
        <v>141</v>
      </c>
      <c r="I2" s="14" t="s">
        <v>142</v>
      </c>
      <c r="J2" s="14" t="s">
        <v>143</v>
      </c>
      <c r="K2" s="14" t="s">
        <v>144</v>
      </c>
    </row>
    <row r="3" spans="1:12" x14ac:dyDescent="0.25">
      <c r="B3" s="12" t="s">
        <v>242</v>
      </c>
      <c r="C3" s="10" t="s">
        <v>244</v>
      </c>
      <c r="D3" s="10" t="s">
        <v>154</v>
      </c>
      <c r="E3" s="12" t="s">
        <v>150</v>
      </c>
      <c r="F3" s="18" t="s">
        <v>151</v>
      </c>
      <c r="G3" s="30" t="str">
        <f>CONCATENATE("IHM_",$C$1,"_",Tabela815[[#This Row],[TG]])</f>
        <v>IHM_MT1_M1</v>
      </c>
      <c r="H3" s="30" t="str">
        <f>IF(Tabela815[[#This Row],[R|W]]="D","-",CONCATENATE(IF(Tabela815[[#This Row],[B|N]]="Inteira","40","00"),IF(Tabela815[[#This Row],[R|W]]="W","5","0"),$B$1,Tabela815[[#This Row],[N]]))</f>
        <v>-</v>
      </c>
      <c r="I3" s="30" t="str">
        <f>CONCATENATE($C$1,".",Tabela815[[#This Row],[EV]])</f>
        <v>MT1.Motor1</v>
      </c>
      <c r="J3" s="30" t="str">
        <f>IF(Tabela815[[#This Row],[R|W]]="D","-",CONCATENATE(IF(Tabela815[[#This Row],[R|W]]="W","5","0"),$B$1,Tabela815[[#This Row],[N]]))</f>
        <v>-</v>
      </c>
    </row>
    <row r="4" spans="1:12" x14ac:dyDescent="0.25">
      <c r="B4" s="12" t="s">
        <v>243</v>
      </c>
      <c r="C4" s="10" t="s">
        <v>245</v>
      </c>
      <c r="D4" s="10" t="s">
        <v>154</v>
      </c>
      <c r="E4" s="12" t="s">
        <v>150</v>
      </c>
      <c r="F4" s="18" t="s">
        <v>151</v>
      </c>
      <c r="G4" s="30" t="str">
        <f>CONCATENATE("IHM_",$C$1,"_",Tabela815[[#This Row],[TG]])</f>
        <v>IHM_MT1_M2</v>
      </c>
      <c r="H4" s="30" t="str">
        <f>IF(Tabela815[[#This Row],[R|W]]="D","-",CONCATENATE(IF(Tabela815[[#This Row],[B|N]]="Inteira","40","00"),IF(Tabela815[[#This Row],[R|W]]="W","5","0"),$B$1,Tabela815[[#This Row],[N]]))</f>
        <v>-</v>
      </c>
      <c r="I4" s="30" t="str">
        <f>CONCATENATE($C$1,".",Tabela815[[#This Row],[EV]])</f>
        <v>MT1.Motor2</v>
      </c>
      <c r="J4" s="30" t="str">
        <f>IF(Tabela815[[#This Row],[R|W]]="D","-",CONCATENATE(IF(Tabela815[[#This Row],[R|W]]="W","5","0"),$B$1,Tabela815[[#This Row],[N]]))</f>
        <v>-</v>
      </c>
    </row>
    <row r="5" spans="1:12" x14ac:dyDescent="0.25">
      <c r="B5" s="2" t="s">
        <v>193</v>
      </c>
      <c r="C5" s="8" t="s">
        <v>210</v>
      </c>
      <c r="D5" s="10" t="s">
        <v>154</v>
      </c>
      <c r="E5" s="12" t="s">
        <v>129</v>
      </c>
      <c r="F5" s="12">
        <v>1</v>
      </c>
      <c r="G5" s="10" t="str">
        <f>CONCATENATE("IHM_",$C$1,"_",Tabela815[[#This Row],[TG]])</f>
        <v>IHM_MT1_OFF</v>
      </c>
      <c r="H5" s="10" t="str">
        <f>IF(Tabela815[[#This Row],[R|W]]="D","-",CONCATENATE(IF(Tabela815[[#This Row],[B|N]]="Inteira","40","00"),IF(Tabela815[[#This Row],[R|W]]="W","5","0"),$B$1,Tabela815[[#This Row],[N]]))</f>
        <v>005611</v>
      </c>
      <c r="I5" s="10" t="str">
        <f>CONCATENATE($C$1,".",Tabela815[[#This Row],[EV]])</f>
        <v>MT1.Desliga</v>
      </c>
      <c r="J5" s="10" t="str">
        <f>IF(Tabela815[[#This Row],[R|W]]="D","-",CONCATENATE(IF(Tabela815[[#This Row],[R|W]]="W","5","0"),$B$1,Tabela815[[#This Row],[N]]))</f>
        <v>5611</v>
      </c>
    </row>
    <row r="6" spans="1:12" ht="15.75" x14ac:dyDescent="0.25">
      <c r="B6" s="6" t="s">
        <v>194</v>
      </c>
      <c r="C6" s="7" t="s">
        <v>211</v>
      </c>
      <c r="D6" s="10" t="s">
        <v>154</v>
      </c>
      <c r="E6" s="12" t="s">
        <v>129</v>
      </c>
      <c r="F6" s="18">
        <v>2</v>
      </c>
      <c r="G6" s="10" t="str">
        <f>CONCATENATE("IHM_",$C$1,"_",Tabela815[[#This Row],[TG]])</f>
        <v>IHM_MT1_X1</v>
      </c>
      <c r="H6" s="10" t="str">
        <f>IF(Tabela815[[#This Row],[R|W]]="D","-",CONCATENATE(IF(Tabela815[[#This Row],[B|N]]="Inteira","40","00"),IF(Tabela815[[#This Row],[R|W]]="W","5","0"),$B$1,Tabela815[[#This Row],[N]]))</f>
        <v>005612</v>
      </c>
      <c r="I6" s="10" t="str">
        <f>CONCATENATE($C$1,".",Tabela815[[#This Row],[EV]])</f>
        <v>MT1.Cima</v>
      </c>
      <c r="J6" s="10" t="str">
        <f>IF(Tabela815[[#This Row],[R|W]]="D","-",CONCATENATE(IF(Tabela815[[#This Row],[R|W]]="W","5","0"),$B$1,Tabela815[[#This Row],[N]]))</f>
        <v>5612</v>
      </c>
    </row>
    <row r="7" spans="1:12" x14ac:dyDescent="0.25">
      <c r="B7" s="2" t="s">
        <v>195</v>
      </c>
      <c r="C7" s="8" t="s">
        <v>212</v>
      </c>
      <c r="D7" s="10" t="s">
        <v>154</v>
      </c>
      <c r="E7" s="12" t="s">
        <v>129</v>
      </c>
      <c r="F7" s="18">
        <v>3</v>
      </c>
      <c r="G7" s="10" t="str">
        <f>CONCATENATE("IHM_",$C$1,"_",Tabela815[[#This Row],[TG]])</f>
        <v>IHM_MT1_X2</v>
      </c>
      <c r="H7" s="10" t="str">
        <f>IF(Tabela815[[#This Row],[R|W]]="D","-",CONCATENATE(IF(Tabela815[[#This Row],[B|N]]="Inteira","40","00"),IF(Tabela815[[#This Row],[R|W]]="W","5","0"),$B$1,Tabela815[[#This Row],[N]]))</f>
        <v>005613</v>
      </c>
      <c r="I7" s="10" t="str">
        <f>CONCATENATE($C$1,".",Tabela815[[#This Row],[EV]])</f>
        <v>MT1.Baixo</v>
      </c>
      <c r="J7" s="10" t="str">
        <f>IF(Tabela815[[#This Row],[R|W]]="D","-",CONCATENATE(IF(Tabela815[[#This Row],[R|W]]="W","5","0"),$B$1,Tabela815[[#This Row],[N]]))</f>
        <v>5613</v>
      </c>
    </row>
    <row r="8" spans="1:12" x14ac:dyDescent="0.25">
      <c r="B8" s="2" t="s">
        <v>196</v>
      </c>
      <c r="C8" s="8" t="s">
        <v>213</v>
      </c>
      <c r="D8" s="10" t="s">
        <v>154</v>
      </c>
      <c r="E8" s="12" t="s">
        <v>129</v>
      </c>
      <c r="F8" s="18">
        <v>4</v>
      </c>
      <c r="G8" s="10" t="str">
        <f>CONCATENATE("IHM_",$C$1,"_",Tabela815[[#This Row],[TG]])</f>
        <v>IHM_MT1_Y1</v>
      </c>
      <c r="H8" s="10" t="str">
        <f>IF(Tabela815[[#This Row],[R|W]]="D","-",CONCATENATE(IF(Tabela815[[#This Row],[B|N]]="Inteira","40","00"),IF(Tabela815[[#This Row],[R|W]]="W","5","0"),$B$1,Tabela815[[#This Row],[N]]))</f>
        <v>005614</v>
      </c>
      <c r="I8" s="10" t="str">
        <f>CONCATENATE($C$1,".",Tabela815[[#This Row],[EV]])</f>
        <v>MT1.Esquesda</v>
      </c>
      <c r="J8" s="10" t="str">
        <f>IF(Tabela815[[#This Row],[R|W]]="D","-",CONCATENATE(IF(Tabela815[[#This Row],[R|W]]="W","5","0"),$B$1,Tabela815[[#This Row],[N]]))</f>
        <v>5614</v>
      </c>
    </row>
    <row r="9" spans="1:12" x14ac:dyDescent="0.25">
      <c r="B9" s="2" t="s">
        <v>197</v>
      </c>
      <c r="C9" s="8" t="s">
        <v>214</v>
      </c>
      <c r="D9" s="10" t="s">
        <v>154</v>
      </c>
      <c r="E9" s="12" t="s">
        <v>129</v>
      </c>
      <c r="F9" s="18">
        <v>5</v>
      </c>
      <c r="G9" s="10" t="str">
        <f>CONCATENATE("IHM_",$C$1,"_",Tabela815[[#This Row],[TG]])</f>
        <v>IHM_MT1_Y2</v>
      </c>
      <c r="H9" s="10" t="str">
        <f>IF(Tabela815[[#This Row],[R|W]]="D","-",CONCATENATE(IF(Tabela815[[#This Row],[B|N]]="Inteira","40","00"),IF(Tabela815[[#This Row],[R|W]]="W","5","0"),$B$1,Tabela815[[#This Row],[N]]))</f>
        <v>005615</v>
      </c>
      <c r="I9" s="10" t="str">
        <f>CONCATENATE($C$1,".",Tabela815[[#This Row],[EV]])</f>
        <v>MT1.Direita</v>
      </c>
      <c r="J9" s="10" t="str">
        <f>IF(Tabela815[[#This Row],[R|W]]="D","-",CONCATENATE(IF(Tabela815[[#This Row],[R|W]]="W","5","0"),$B$1,Tabela815[[#This Row],[N]]))</f>
        <v>5615</v>
      </c>
    </row>
    <row r="10" spans="1:12" x14ac:dyDescent="0.25">
      <c r="B10" s="12" t="s">
        <v>251</v>
      </c>
      <c r="C10" s="10" t="s">
        <v>254</v>
      </c>
      <c r="D10" s="10" t="s">
        <v>154</v>
      </c>
      <c r="E10" s="12"/>
      <c r="F10" s="12"/>
      <c r="G10" s="30" t="str">
        <f>CONCATENATE("IHM_",$C$1,"_",Tabela815[[#This Row],[TG]])</f>
        <v>IHM_MT1_KC</v>
      </c>
      <c r="H10" s="30" t="str">
        <f>IF(Tabela815[[#This Row],[R|W]]="D","-",CONCATENATE(IF(Tabela815[[#This Row],[B|N]]="Inteira","40","00"),IF(Tabela815[[#This Row],[R|W]]="W","5","0"),$B$1,Tabela815[[#This Row],[N]]))</f>
        <v>00061</v>
      </c>
      <c r="I10" s="30" t="str">
        <f>CONCATENATE($C$1,".",Tabela815[[#This Row],[EV]])</f>
        <v>MT1.KComun</v>
      </c>
      <c r="J10" s="30" t="str">
        <f>IF(Tabela815[[#This Row],[R|W]]="D","-",CONCATENATE(IF(Tabela815[[#This Row],[R|W]]="W","5","0"),$B$1,Tabela815[[#This Row],[N]]))</f>
        <v>061</v>
      </c>
    </row>
    <row r="11" spans="1:12" x14ac:dyDescent="0.25">
      <c r="B11" s="12" t="s">
        <v>252</v>
      </c>
      <c r="C11" s="10" t="s">
        <v>252</v>
      </c>
      <c r="D11" s="10" t="s">
        <v>154</v>
      </c>
      <c r="E11" s="12"/>
      <c r="F11" s="12"/>
      <c r="G11" s="30" t="str">
        <f>CONCATENATE("IHM_",$C$1,"_",Tabela815[[#This Row],[TG]])</f>
        <v>IHM_MT1_KX</v>
      </c>
      <c r="H11" s="30" t="str">
        <f>IF(Tabela815[[#This Row],[R|W]]="D","-",CONCATENATE(IF(Tabela815[[#This Row],[B|N]]="Inteira","40","00"),IF(Tabela815[[#This Row],[R|W]]="W","5","0"),$B$1,Tabela815[[#This Row],[N]]))</f>
        <v>00061</v>
      </c>
      <c r="I11" s="30" t="str">
        <f>CONCATENATE($C$1,".",Tabela815[[#This Row],[EV]])</f>
        <v>MT1.KX</v>
      </c>
      <c r="J11" s="30" t="str">
        <f>IF(Tabela815[[#This Row],[R|W]]="D","-",CONCATENATE(IF(Tabela815[[#This Row],[R|W]]="W","5","0"),$B$1,Tabela815[[#This Row],[N]]))</f>
        <v>061</v>
      </c>
    </row>
    <row r="12" spans="1:12" x14ac:dyDescent="0.25">
      <c r="B12" s="12" t="s">
        <v>253</v>
      </c>
      <c r="C12" s="10" t="s">
        <v>253</v>
      </c>
      <c r="D12" s="10" t="s">
        <v>154</v>
      </c>
      <c r="E12" s="12"/>
      <c r="F12" s="12"/>
      <c r="G12" s="30" t="str">
        <f>CONCATENATE("IHM_",$C$1,"_",Tabela815[[#This Row],[TG]])</f>
        <v>IHM_MT1_KY</v>
      </c>
      <c r="H12" s="30" t="str">
        <f>IF(Tabela815[[#This Row],[R|W]]="D","-",CONCATENATE(IF(Tabela815[[#This Row],[B|N]]="Inteira","40","00"),IF(Tabela815[[#This Row],[R|W]]="W","5","0"),$B$1,Tabela815[[#This Row],[N]]))</f>
        <v>00061</v>
      </c>
      <c r="I12" s="30" t="str">
        <f>CONCATENATE($C$1,".",Tabela815[[#This Row],[EV]])</f>
        <v>MT1.KY</v>
      </c>
      <c r="J12" s="30" t="str">
        <f>IF(Tabela815[[#This Row],[R|W]]="D","-",CONCATENATE(IF(Tabela815[[#This Row],[R|W]]="W","5","0"),$B$1,Tabela815[[#This Row],[N]]))</f>
        <v>061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6DB6-DCA5-4AD3-95DC-5E186B621781}">
  <dimension ref="A1:L4"/>
  <sheetViews>
    <sheetView zoomScale="190" zoomScaleNormal="190" workbookViewId="0">
      <selection activeCell="I19" sqref="I19"/>
    </sheetView>
  </sheetViews>
  <sheetFormatPr defaultColWidth="9.140625" defaultRowHeight="15" x14ac:dyDescent="0.25"/>
  <cols>
    <col min="1" max="1" width="3" style="16" bestFit="1" customWidth="1"/>
    <col min="2" max="2" width="5.85546875" style="16" bestFit="1" customWidth="1"/>
    <col min="3" max="3" width="11.85546875" style="10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9.85546875" style="10" bestFit="1" customWidth="1"/>
    <col min="8" max="8" width="10.5703125" style="10" bestFit="1" customWidth="1"/>
    <col min="9" max="9" width="16.5703125" style="10" bestFit="1" customWidth="1"/>
    <col min="10" max="10" width="11.140625" style="10" bestFit="1" customWidth="1"/>
    <col min="11" max="11" width="12.5703125" style="10" bestFit="1" customWidth="1"/>
    <col min="12" max="12" width="3" style="16" bestFit="1" customWidth="1"/>
    <col min="13" max="13" width="27.140625" style="16" bestFit="1" customWidth="1"/>
    <col min="14" max="16384" width="9.140625" style="16"/>
  </cols>
  <sheetData>
    <row r="1" spans="1:12" x14ac:dyDescent="0.25">
      <c r="A1" s="15"/>
      <c r="B1" s="15">
        <v>71</v>
      </c>
      <c r="C1" s="10" t="s">
        <v>247</v>
      </c>
      <c r="L1" s="15"/>
    </row>
    <row r="2" spans="1:12" ht="16.5" thickBot="1" x14ac:dyDescent="0.3">
      <c r="B2" s="14" t="s">
        <v>139</v>
      </c>
      <c r="C2" s="11" t="s">
        <v>125</v>
      </c>
      <c r="D2" s="14" t="s">
        <v>2</v>
      </c>
      <c r="E2" s="14" t="s">
        <v>3</v>
      </c>
      <c r="F2" s="20" t="s">
        <v>126</v>
      </c>
      <c r="G2" s="11" t="s">
        <v>140</v>
      </c>
      <c r="H2" s="14" t="s">
        <v>141</v>
      </c>
      <c r="I2" s="14" t="s">
        <v>142</v>
      </c>
      <c r="J2" s="14" t="s">
        <v>143</v>
      </c>
      <c r="K2" s="14" t="s">
        <v>144</v>
      </c>
    </row>
    <row r="3" spans="1:12" ht="15.75" x14ac:dyDescent="0.25">
      <c r="B3" s="6" t="s">
        <v>248</v>
      </c>
      <c r="C3" s="7" t="s">
        <v>249</v>
      </c>
      <c r="D3" s="10" t="s">
        <v>154</v>
      </c>
      <c r="E3" s="12" t="s">
        <v>132</v>
      </c>
      <c r="F3" s="18">
        <v>1</v>
      </c>
      <c r="G3" s="10" t="str">
        <f>CONCATENATE($C$1,"_",Tabela81517[[#This Row],[TG]])</f>
        <v>IMP1_AT</v>
      </c>
      <c r="H3" s="10" t="str">
        <f>IF(Tabela81517[[#This Row],[R|W]]="D","-",CONCATENATE(IF(Tabela81517[[#This Row],[B|N]]="Inteira","40","00"),IF(Tabela81517[[#This Row],[R|W]]="W","5","0"),$B$1,Tabela81517[[#This Row],[N]]))</f>
        <v>000711</v>
      </c>
      <c r="I3" s="10" t="str">
        <f>CONCATENATE($C$1,".",Tabela81517[[#This Row],[EV]])</f>
        <v>IMP1.Imprimir</v>
      </c>
      <c r="J3" s="10" t="str">
        <f>IF(Tabela81517[[#This Row],[R|W]]="D","-",CONCATENATE(IF(Tabela81517[[#This Row],[R|W]]="W","5","0"),$B$1,Tabela81517[[#This Row],[N]]))</f>
        <v>0711</v>
      </c>
    </row>
    <row r="4" spans="1:12" ht="15.75" x14ac:dyDescent="0.25">
      <c r="B4" s="6" t="s">
        <v>190</v>
      </c>
      <c r="C4" s="7" t="s">
        <v>250</v>
      </c>
      <c r="D4" s="10" t="s">
        <v>149</v>
      </c>
      <c r="E4" s="12" t="s">
        <v>132</v>
      </c>
      <c r="F4" s="18">
        <v>1</v>
      </c>
      <c r="G4" s="10" t="str">
        <f>CONCATENATE($C$1,"_",Tabela81517[[#This Row],[TG]])</f>
        <v>IMP1_NM</v>
      </c>
      <c r="H4" s="10" t="str">
        <f>IF(Tabela81517[[#This Row],[R|W]]="D","-",CONCATENATE(IF(Tabela81517[[#This Row],[B|N]]="Inteira","40","00"),IF(Tabela81517[[#This Row],[R|W]]="W","5","0"),$B$1,Tabela81517[[#This Row],[N]]))</f>
        <v>400711</v>
      </c>
      <c r="I4" s="10" t="str">
        <f>CONCATENATE($C$1,".",Tabela81517[[#This Row],[EV]])</f>
        <v>IMP1.Quantidade</v>
      </c>
      <c r="J4" s="10" t="str">
        <f>IF(Tabela81517[[#This Row],[R|W]]="D","-",CONCATENATE(IF(Tabela81517[[#This Row],[R|W]]="W","5","0"),$B$1,Tabela81517[[#This Row],[N]]))</f>
        <v>0711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CE96-FB9F-4D04-9FEA-8CEE1768C298}">
  <dimension ref="A1:B39"/>
  <sheetViews>
    <sheetView zoomScale="160" zoomScaleNormal="160" workbookViewId="0">
      <selection activeCell="N10" sqref="N10"/>
    </sheetView>
  </sheetViews>
  <sheetFormatPr defaultColWidth="2.85546875" defaultRowHeight="15" x14ac:dyDescent="0.25"/>
  <sheetData>
    <row r="1" spans="1:2" x14ac:dyDescent="0.25">
      <c r="A1" s="1"/>
    </row>
    <row r="2" spans="1:2" x14ac:dyDescent="0.25">
      <c r="B2" t="s">
        <v>259</v>
      </c>
    </row>
    <row r="3" spans="1:2" x14ac:dyDescent="0.25">
      <c r="B3" t="s">
        <v>260</v>
      </c>
    </row>
    <row r="4" spans="1:2" x14ac:dyDescent="0.25">
      <c r="B4" t="s">
        <v>261</v>
      </c>
    </row>
    <row r="5" spans="1:2" x14ac:dyDescent="0.25">
      <c r="B5" t="s">
        <v>262</v>
      </c>
    </row>
    <row r="6" spans="1:2" x14ac:dyDescent="0.25">
      <c r="B6" t="s">
        <v>186</v>
      </c>
    </row>
    <row r="7" spans="1:2" x14ac:dyDescent="0.25">
      <c r="B7" t="s">
        <v>263</v>
      </c>
    </row>
    <row r="8" spans="1:2" x14ac:dyDescent="0.25">
      <c r="B8" t="s">
        <v>127</v>
      </c>
    </row>
    <row r="9" spans="1:2" x14ac:dyDescent="0.25">
      <c r="B9" t="s">
        <v>247</v>
      </c>
    </row>
    <row r="10" spans="1:2" x14ac:dyDescent="0.25">
      <c r="B10" t="s">
        <v>215</v>
      </c>
    </row>
    <row r="11" spans="1:2" x14ac:dyDescent="0.25">
      <c r="B11" t="s">
        <v>264</v>
      </c>
    </row>
    <row r="12" spans="1:2" x14ac:dyDescent="0.25">
      <c r="B12" t="s">
        <v>265</v>
      </c>
    </row>
    <row r="13" spans="1:2" x14ac:dyDescent="0.25">
      <c r="B13" t="s">
        <v>266</v>
      </c>
    </row>
    <row r="14" spans="1:2" x14ac:dyDescent="0.25">
      <c r="B14" t="s">
        <v>225</v>
      </c>
    </row>
    <row r="15" spans="1:2" x14ac:dyDescent="0.25">
      <c r="B15" t="s">
        <v>267</v>
      </c>
    </row>
    <row r="16" spans="1:2" x14ac:dyDescent="0.25">
      <c r="B16" t="s">
        <v>268</v>
      </c>
    </row>
    <row r="17" spans="2:2" x14ac:dyDescent="0.25">
      <c r="B17" t="s">
        <v>227</v>
      </c>
    </row>
    <row r="18" spans="2:2" x14ac:dyDescent="0.25">
      <c r="B18" t="s">
        <v>257</v>
      </c>
    </row>
    <row r="19" spans="2:2" x14ac:dyDescent="0.25">
      <c r="B19" t="s">
        <v>255</v>
      </c>
    </row>
    <row r="20" spans="2:2" x14ac:dyDescent="0.25">
      <c r="B20" t="s">
        <v>256</v>
      </c>
    </row>
    <row r="21" spans="2:2" x14ac:dyDescent="0.25">
      <c r="B21" t="s">
        <v>189</v>
      </c>
    </row>
    <row r="22" spans="2:2" x14ac:dyDescent="0.25">
      <c r="B22" t="s">
        <v>69</v>
      </c>
    </row>
    <row r="23" spans="2:2" x14ac:dyDescent="0.25">
      <c r="B23" t="s">
        <v>192</v>
      </c>
    </row>
    <row r="24" spans="2:2" x14ac:dyDescent="0.25">
      <c r="B24" t="s">
        <v>269</v>
      </c>
    </row>
    <row r="25" spans="2:2" x14ac:dyDescent="0.25">
      <c r="B25" t="s">
        <v>270</v>
      </c>
    </row>
    <row r="26" spans="2:2" x14ac:dyDescent="0.25">
      <c r="B26" t="s">
        <v>271</v>
      </c>
    </row>
    <row r="27" spans="2:2" x14ac:dyDescent="0.25">
      <c r="B27" t="s">
        <v>174</v>
      </c>
    </row>
    <row r="28" spans="2:2" x14ac:dyDescent="0.25">
      <c r="B28" t="s">
        <v>272</v>
      </c>
    </row>
    <row r="29" spans="2:2" x14ac:dyDescent="0.25">
      <c r="B29" t="s">
        <v>273</v>
      </c>
    </row>
    <row r="30" spans="2:2" x14ac:dyDescent="0.25">
      <c r="B30" t="s">
        <v>274</v>
      </c>
    </row>
    <row r="31" spans="2:2" x14ac:dyDescent="0.25">
      <c r="B31" t="s">
        <v>275</v>
      </c>
    </row>
    <row r="32" spans="2:2" x14ac:dyDescent="0.25">
      <c r="B32" t="s">
        <v>276</v>
      </c>
    </row>
    <row r="33" spans="2:2" x14ac:dyDescent="0.25">
      <c r="B33" t="s">
        <v>277</v>
      </c>
    </row>
    <row r="34" spans="2:2" x14ac:dyDescent="0.25">
      <c r="B34" t="s">
        <v>278</v>
      </c>
    </row>
    <row r="35" spans="2:2" x14ac:dyDescent="0.25">
      <c r="B35" t="s">
        <v>279</v>
      </c>
    </row>
    <row r="36" spans="2:2" x14ac:dyDescent="0.25">
      <c r="B36" t="s">
        <v>280</v>
      </c>
    </row>
    <row r="37" spans="2:2" x14ac:dyDescent="0.25">
      <c r="B37" t="s">
        <v>258</v>
      </c>
    </row>
    <row r="38" spans="2:2" x14ac:dyDescent="0.25">
      <c r="B38" t="s">
        <v>228</v>
      </c>
    </row>
    <row r="39" spans="2:2" x14ac:dyDescent="0.25">
      <c r="B39" t="s">
        <v>281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4CD4-EEB0-4257-ACC8-DA4995404BC2}">
  <dimension ref="A2:L38"/>
  <sheetViews>
    <sheetView tabSelected="1" zoomScale="175" zoomScaleNormal="175" workbookViewId="0">
      <selection activeCell="G35" sqref="G35:G38"/>
    </sheetView>
  </sheetViews>
  <sheetFormatPr defaultColWidth="9.140625" defaultRowHeight="15" x14ac:dyDescent="0.25"/>
  <cols>
    <col min="1" max="1" width="3" style="16" bestFit="1" customWidth="1"/>
    <col min="2" max="2" width="22.42578125" style="16" bestFit="1" customWidth="1"/>
    <col min="3" max="3" width="9.28515625" style="10" bestFit="1" customWidth="1"/>
    <col min="4" max="4" width="7.85546875" style="10" bestFit="1" customWidth="1"/>
    <col min="5" max="5" width="4.85546875" style="16" bestFit="1" customWidth="1"/>
    <col min="6" max="6" width="26.28515625" style="16" bestFit="1" customWidth="1"/>
    <col min="7" max="7" width="10.5703125" style="10" bestFit="1" customWidth="1"/>
    <col min="8" max="8" width="20.7109375" style="10" bestFit="1" customWidth="1"/>
    <col min="9" max="9" width="11.140625" style="10" bestFit="1" customWidth="1"/>
    <col min="10" max="10" width="5.85546875" style="10" bestFit="1" customWidth="1"/>
    <col min="11" max="11" width="12.5703125" style="10" bestFit="1" customWidth="1"/>
    <col min="12" max="12" width="3" style="16" bestFit="1" customWidth="1"/>
    <col min="13" max="13" width="27.140625" style="16" bestFit="1" customWidth="1"/>
    <col min="14" max="16384" width="9.140625" style="16"/>
  </cols>
  <sheetData>
    <row r="2" spans="1:12" x14ac:dyDescent="0.25">
      <c r="A2" s="15"/>
      <c r="B2" s="42" t="s">
        <v>246</v>
      </c>
      <c r="C2" s="10" t="s">
        <v>127</v>
      </c>
      <c r="L2" s="15"/>
    </row>
    <row r="3" spans="1:12" ht="16.5" thickBot="1" x14ac:dyDescent="0.3">
      <c r="B3" s="11" t="s">
        <v>125</v>
      </c>
      <c r="C3" s="14" t="s">
        <v>2</v>
      </c>
      <c r="D3" s="14" t="s">
        <v>3</v>
      </c>
      <c r="E3" s="20" t="s">
        <v>126</v>
      </c>
      <c r="F3" s="11" t="s">
        <v>140</v>
      </c>
      <c r="G3" s="14" t="s">
        <v>141</v>
      </c>
      <c r="H3" s="14" t="s">
        <v>142</v>
      </c>
      <c r="I3" s="14" t="s">
        <v>143</v>
      </c>
      <c r="J3" s="14" t="s">
        <v>139</v>
      </c>
      <c r="K3" s="14" t="s">
        <v>144</v>
      </c>
      <c r="L3" s="14" t="s">
        <v>308</v>
      </c>
    </row>
    <row r="4" spans="1:12" ht="15.75" hidden="1" x14ac:dyDescent="0.25">
      <c r="B4" s="7" t="s">
        <v>330</v>
      </c>
      <c r="C4" s="10" t="s">
        <v>234</v>
      </c>
      <c r="D4" s="12" t="s">
        <v>150</v>
      </c>
      <c r="E4" s="18" t="s">
        <v>151</v>
      </c>
      <c r="F4" s="30" t="str">
        <f>CONCATENATE($C$2,"_",Tabela8151718[[#This Row],[EV]])</f>
        <v>IHM_Password</v>
      </c>
      <c r="G4" s="30" t="str">
        <f>IF(Tabela8151718[[#This Row],[R|W]]="D","-",CONCATENATE(IF(Tabela8151718[[#This Row],[B|N]]="Inteira","40","00"),IF(Tabela8151718[[#This Row],[R|W]]="W","5","0"),$B$2,Tabela8151718[[#This Row],[N]]))</f>
        <v>-</v>
      </c>
      <c r="H4" s="30" t="str">
        <f>CONCATENATE($C$2,".",Tabela8151718[[#This Row],[EV]])</f>
        <v>IHM.Password</v>
      </c>
      <c r="I4" s="30" t="str">
        <f>IF(Tabela8151718[[#This Row],[R|W]]="D","-",CONCATENATE(IF(Tabela8151718[[#This Row],[R|W]]="W","5","0"),$B$2,Tabela8151718[[#This Row],[N]]))</f>
        <v>-</v>
      </c>
      <c r="J4" s="12"/>
      <c r="L4" s="24">
        <v>1</v>
      </c>
    </row>
    <row r="5" spans="1:12" ht="15.75" hidden="1" x14ac:dyDescent="0.25">
      <c r="B5" s="7" t="s">
        <v>331</v>
      </c>
      <c r="C5" s="10" t="s">
        <v>234</v>
      </c>
      <c r="D5" s="12" t="s">
        <v>150</v>
      </c>
      <c r="E5" s="18" t="s">
        <v>151</v>
      </c>
      <c r="F5" s="30" t="str">
        <f>CONCATENATE($C$2,"_",Tabela8151718[[#This Row],[EV]])</f>
        <v>IHM_ProductionOrder</v>
      </c>
      <c r="G5" s="30" t="str">
        <f>IF(Tabela8151718[[#This Row],[R|W]]="D","-",CONCATENATE(IF(Tabela8151718[[#This Row],[B|N]]="Inteira","40","00"),IF(Tabela8151718[[#This Row],[R|W]]="W","5","0"),$B$2,Tabela8151718[[#This Row],[N]]))</f>
        <v>-</v>
      </c>
      <c r="H5" s="30" t="str">
        <f>CONCATENATE($C$2,".",Tabela8151718[[#This Row],[EV]])</f>
        <v>IHM.ProductionOrder</v>
      </c>
      <c r="I5" s="30" t="str">
        <f>IF(Tabela8151718[[#This Row],[R|W]]="D","-",CONCATENATE(IF(Tabela8151718[[#This Row],[R|W]]="W","5","0"),$B$2,Tabela8151718[[#This Row],[N]]))</f>
        <v>-</v>
      </c>
      <c r="J5" s="12"/>
      <c r="K5" s="10" t="s">
        <v>257</v>
      </c>
      <c r="L5" s="24">
        <v>2</v>
      </c>
    </row>
    <row r="6" spans="1:12" ht="15.75" hidden="1" x14ac:dyDescent="0.25">
      <c r="B6" s="7" t="s">
        <v>332</v>
      </c>
      <c r="C6" s="10" t="s">
        <v>154</v>
      </c>
      <c r="D6" s="12" t="s">
        <v>150</v>
      </c>
      <c r="E6" s="18" t="s">
        <v>151</v>
      </c>
      <c r="F6" s="30" t="str">
        <f>CONCATENATE($C$2,"_",Tabela8151718[[#This Row],[EV]])</f>
        <v>IHM_Save</v>
      </c>
      <c r="G6" s="30" t="str">
        <f>IF(Tabela8151718[[#This Row],[R|W]]="D","-",CONCATENATE(IF(Tabela8151718[[#This Row],[B|N]]="Inteira","40","00"),IF(Tabela8151718[[#This Row],[R|W]]="W","5","0"),$B$2,Tabela8151718[[#This Row],[N]]))</f>
        <v>-</v>
      </c>
      <c r="H6" s="30" t="str">
        <f>CONCATENATE($C$2,".",Tabela8151718[[#This Row],[EV]])</f>
        <v>IHM.Save</v>
      </c>
      <c r="I6" s="30" t="str">
        <f>IF(Tabela8151718[[#This Row],[R|W]]="D","-",CONCATENATE(IF(Tabela8151718[[#This Row],[R|W]]="W","5","0"),$B$2,Tabela8151718[[#This Row],[N]]))</f>
        <v>-</v>
      </c>
      <c r="J6" s="12"/>
      <c r="L6" s="24">
        <v>3</v>
      </c>
    </row>
    <row r="7" spans="1:12" ht="15.75" hidden="1" x14ac:dyDescent="0.25">
      <c r="B7" s="7" t="s">
        <v>130</v>
      </c>
      <c r="C7" s="10" t="s">
        <v>154</v>
      </c>
      <c r="D7" s="12" t="s">
        <v>129</v>
      </c>
      <c r="E7" s="18">
        <v>1</v>
      </c>
      <c r="F7" s="10" t="str">
        <f>CONCATENATE($C$2,"_",Tabela8151718[[#This Row],[EV]])</f>
        <v>IHM_AlarmeReset</v>
      </c>
      <c r="G7" s="10" t="str">
        <f>IF(Tabela8151718[[#This Row],[R|W]]="D","-",CONCATENATE(IF(Tabela8151718[[#This Row],[B|N]]="Inteira","40","00"),IF(Tabela8151718[[#This Row],[R|W]]="W","5","0"),$B$2,Tabela8151718[[#This Row],[N]]))</f>
        <v>005001</v>
      </c>
      <c r="H7" s="10" t="str">
        <f>CONCATENATE($C$2,".",Tabela8151718[[#This Row],[EV]])</f>
        <v>IHM.AlarmeReset</v>
      </c>
      <c r="I7" s="10" t="str">
        <f>IF(Tabela8151718[[#This Row],[R|W]]="D","-",CONCATENATE(IF(Tabela8151718[[#This Row],[R|W]]="W","5","0"),$B$2,Tabela8151718[[#This Row],[N]]))</f>
        <v>5001</v>
      </c>
      <c r="J7" s="6"/>
      <c r="L7" s="24">
        <v>4</v>
      </c>
    </row>
    <row r="8" spans="1:12" ht="15.75" hidden="1" x14ac:dyDescent="0.25">
      <c r="B8" s="7" t="s">
        <v>333</v>
      </c>
      <c r="C8" s="10" t="s">
        <v>154</v>
      </c>
      <c r="D8" s="12" t="s">
        <v>129</v>
      </c>
      <c r="E8" s="12">
        <v>2</v>
      </c>
      <c r="F8" s="10" t="str">
        <f>CONCATENATE($C$2,"_",Tabela8151718[[#This Row],[EV]])</f>
        <v>IHM_DeviceRelease</v>
      </c>
      <c r="G8" s="10" t="str">
        <f>IF(Tabela8151718[[#This Row],[R|W]]="D","-",CONCATENATE(IF(Tabela8151718[[#This Row],[B|N]]="Inteira","40","00"),IF(Tabela8151718[[#This Row],[R|W]]="W","5","0"),$B$2,Tabela8151718[[#This Row],[N]]))</f>
        <v>005002</v>
      </c>
      <c r="H8" s="10" t="str">
        <f>CONCATENATE($C$2,".",Tabela8151718[[#This Row],[EV]])</f>
        <v>IHM.DeviceRelease</v>
      </c>
      <c r="I8" s="10" t="str">
        <f>IF(Tabela8151718[[#This Row],[R|W]]="D","-",CONCATENATE(IF(Tabela8151718[[#This Row],[R|W]]="W","5","0"),$B$2,Tabela8151718[[#This Row],[N]]))</f>
        <v>5002</v>
      </c>
      <c r="J8" s="2"/>
      <c r="L8" s="24">
        <v>5</v>
      </c>
    </row>
    <row r="9" spans="1:12" ht="15.75" hidden="1" x14ac:dyDescent="0.25">
      <c r="B9" s="7" t="s">
        <v>334</v>
      </c>
      <c r="C9" s="10" t="s">
        <v>154</v>
      </c>
      <c r="D9" s="12" t="s">
        <v>129</v>
      </c>
      <c r="E9" s="12">
        <v>3</v>
      </c>
      <c r="F9" s="30" t="str">
        <f>CONCATENATE($C$2,"_",Tabela8151718[[#This Row],[EV]])</f>
        <v>IHM_btPrint</v>
      </c>
      <c r="G9" s="30" t="str">
        <f>IF(Tabela8151718[[#This Row],[R|W]]="D","-",CONCATENATE(IF(Tabela8151718[[#This Row],[B|N]]="Inteira","40","00"),IF(Tabela8151718[[#This Row],[R|W]]="W","5","0"),$B$2,Tabela8151718[[#This Row],[N]]))</f>
        <v>005003</v>
      </c>
      <c r="H9" s="30" t="str">
        <f>CONCATENATE($C$2,".",Tabela8151718[[#This Row],[EV]])</f>
        <v>IHM.btPrint</v>
      </c>
      <c r="I9" s="30" t="str">
        <f>IF(Tabela8151718[[#This Row],[R|W]]="D","-",CONCATENATE(IF(Tabela8151718[[#This Row],[R|W]]="W","5","0"),$B$2,Tabela8151718[[#This Row],[N]]))</f>
        <v>5003</v>
      </c>
      <c r="J9" s="12"/>
      <c r="L9" s="24">
        <v>6</v>
      </c>
    </row>
    <row r="10" spans="1:12" ht="15.75" hidden="1" x14ac:dyDescent="0.25">
      <c r="B10" s="7" t="s">
        <v>309</v>
      </c>
      <c r="C10" s="10" t="s">
        <v>154</v>
      </c>
      <c r="D10" s="12" t="s">
        <v>129</v>
      </c>
      <c r="E10" s="12">
        <v>4</v>
      </c>
      <c r="F10" s="30" t="str">
        <f>CONCATENATE($C$2,"_",Tabela8151718[[#This Row],[EV]])</f>
        <v>IHM_Start</v>
      </c>
      <c r="G10" s="30" t="str">
        <f>IF(Tabela8151718[[#This Row],[R|W]]="D","-",CONCATENATE(IF(Tabela8151718[[#This Row],[B|N]]="Inteira","40","00"),IF(Tabela8151718[[#This Row],[R|W]]="W","5","0"),$B$2,Tabela8151718[[#This Row],[N]]))</f>
        <v>005004</v>
      </c>
      <c r="H10" s="30" t="str">
        <f>CONCATENATE($C$2,".",Tabela8151718[[#This Row],[EV]])</f>
        <v>IHM.Start</v>
      </c>
      <c r="I10" s="30" t="str">
        <f>IF(Tabela8151718[[#This Row],[R|W]]="D","-",CONCATENATE(IF(Tabela8151718[[#This Row],[R|W]]="W","5","0"),$B$2,Tabela8151718[[#This Row],[N]]))</f>
        <v>5004</v>
      </c>
      <c r="J10" s="24"/>
      <c r="L10" s="24">
        <v>7</v>
      </c>
    </row>
    <row r="11" spans="1:12" ht="15.75" hidden="1" x14ac:dyDescent="0.25">
      <c r="B11" s="7" t="s">
        <v>310</v>
      </c>
      <c r="C11" s="10" t="s">
        <v>149</v>
      </c>
      <c r="D11" s="12" t="s">
        <v>132</v>
      </c>
      <c r="E11" s="18">
        <v>1</v>
      </c>
      <c r="F11" s="10" t="str">
        <f>CONCATENATE($C$2,"_",Tabela8151718[[#This Row],[EV]])</f>
        <v>IHM_AlarmNumber</v>
      </c>
      <c r="G11" s="10" t="str">
        <f>IF(Tabela8151718[[#This Row],[R|W]]="D","-",CONCATENATE(IF(Tabela8151718[[#This Row],[B|N]]="Inteira","40","00"),IF(Tabela8151718[[#This Row],[R|W]]="W","5","0"),$B$2,Tabela8151718[[#This Row],[N]]))</f>
        <v>400001</v>
      </c>
      <c r="H11" s="10" t="str">
        <f>CONCATENATE($C$2,".",Tabela8151718[[#This Row],[EV]])</f>
        <v>IHM.AlarmNumber</v>
      </c>
      <c r="I11" s="10" t="str">
        <f>IF(Tabela8151718[[#This Row],[R|W]]="D","-",CONCATENATE(IF(Tabela8151718[[#This Row],[R|W]]="W","5","0"),$B$2,Tabela8151718[[#This Row],[N]]))</f>
        <v>0001</v>
      </c>
      <c r="J11" s="2"/>
      <c r="K11" s="10" t="s">
        <v>257</v>
      </c>
      <c r="L11" s="24">
        <v>8</v>
      </c>
    </row>
    <row r="12" spans="1:12" ht="15.75" hidden="1" x14ac:dyDescent="0.25">
      <c r="B12" s="7" t="s">
        <v>311</v>
      </c>
      <c r="C12" s="10" t="s">
        <v>149</v>
      </c>
      <c r="D12" s="12" t="s">
        <v>132</v>
      </c>
      <c r="E12" s="12">
        <v>2</v>
      </c>
      <c r="F12" s="30" t="str">
        <f>CONCATENATE($C$2,"_",Tabela8151718[[#This Row],[EV]])</f>
        <v>IHM_ProductionCurrent</v>
      </c>
      <c r="G12" s="30" t="str">
        <f>IF(Tabela8151718[[#This Row],[R|W]]="D","-",CONCATENATE(IF(Tabela8151718[[#This Row],[B|N]]="Inteira","40","00"),IF(Tabela8151718[[#This Row],[R|W]]="W","5","0"),$B$2,Tabela8151718[[#This Row],[N]]))</f>
        <v>400002</v>
      </c>
      <c r="H12" s="30" t="str">
        <f>CONCATENATE($C$2,".",Tabela8151718[[#This Row],[EV]])</f>
        <v>IHM.ProductionCurrent</v>
      </c>
      <c r="I12" s="30" t="str">
        <f>IF(Tabela8151718[[#This Row],[R|W]]="D","-",CONCATENATE(IF(Tabela8151718[[#This Row],[R|W]]="W","5","0"),$B$2,Tabela8151718[[#This Row],[N]]))</f>
        <v>0002</v>
      </c>
      <c r="J12" s="12"/>
      <c r="K12" s="10" t="s">
        <v>257</v>
      </c>
      <c r="L12" s="24">
        <v>9</v>
      </c>
    </row>
    <row r="13" spans="1:12" ht="15.75" hidden="1" x14ac:dyDescent="0.25">
      <c r="B13" s="7" t="s">
        <v>312</v>
      </c>
      <c r="C13" s="10" t="s">
        <v>149</v>
      </c>
      <c r="D13" s="12" t="s">
        <v>132</v>
      </c>
      <c r="E13" s="12">
        <v>3</v>
      </c>
      <c r="F13" s="30" t="str">
        <f>CONCATENATE($C$2,"_",Tabela8151718[[#This Row],[EV]])</f>
        <v>IHM_Type</v>
      </c>
      <c r="G13" s="30" t="str">
        <f>IF(Tabela8151718[[#This Row],[R|W]]="D","-",CONCATENATE(IF(Tabela8151718[[#This Row],[B|N]]="Inteira","40","00"),IF(Tabela8151718[[#This Row],[R|W]]="W","5","0"),$B$2,Tabela8151718[[#This Row],[N]]))</f>
        <v>400003</v>
      </c>
      <c r="H13" s="30" t="str">
        <f>CONCATENATE($C$2,".",Tabela8151718[[#This Row],[EV]])</f>
        <v>IHM.Type</v>
      </c>
      <c r="I13" s="30" t="str">
        <f>IF(Tabela8151718[[#This Row],[R|W]]="D","-",CONCATENATE(IF(Tabela8151718[[#This Row],[R|W]]="W","5","0"),$B$2,Tabela8151718[[#This Row],[N]]))</f>
        <v>0003</v>
      </c>
      <c r="J13" s="12"/>
      <c r="K13" s="10" t="s">
        <v>257</v>
      </c>
      <c r="L13" s="24">
        <v>10</v>
      </c>
    </row>
    <row r="14" spans="1:12" ht="15.75" x14ac:dyDescent="0.25">
      <c r="B14" s="7" t="s">
        <v>313</v>
      </c>
      <c r="C14" s="10" t="s">
        <v>149</v>
      </c>
      <c r="D14" s="12" t="s">
        <v>129</v>
      </c>
      <c r="E14" s="18">
        <v>1</v>
      </c>
      <c r="F14" s="10" t="str">
        <f>CONCATENATE($C$2,"_",Tabela8151718[[#This Row],[EV]])</f>
        <v>IHM_Model</v>
      </c>
      <c r="G14" s="10" t="str">
        <f>IF(Tabela8151718[[#This Row],[R|W]]="D","-",CONCATENATE(IF(Tabela8151718[[#This Row],[B|N]]="Inteira","40","00"),IF(Tabela8151718[[#This Row],[R|W]]="W","5","0"),$B$2,Tabela8151718[[#This Row],[N]]))</f>
        <v>405001</v>
      </c>
      <c r="H14" s="10" t="str">
        <f>CONCATENATE($C$2,".",Tabela8151718[[#This Row],[EV]])</f>
        <v>IHM.Model</v>
      </c>
      <c r="I14" s="10" t="str">
        <f>IF(Tabela8151718[[#This Row],[R|W]]="D","-",CONCATENATE(IF(Tabela8151718[[#This Row],[R|W]]="W","5","0"),$B$2,Tabela8151718[[#This Row],[N]]))</f>
        <v>5001</v>
      </c>
      <c r="J14" s="2"/>
      <c r="K14" s="10" t="s">
        <v>257</v>
      </c>
      <c r="L14" s="24">
        <v>11</v>
      </c>
    </row>
    <row r="15" spans="1:12" ht="15.75" x14ac:dyDescent="0.25">
      <c r="B15" s="7" t="s">
        <v>314</v>
      </c>
      <c r="C15" s="10" t="s">
        <v>149</v>
      </c>
      <c r="D15" s="12" t="s">
        <v>129</v>
      </c>
      <c r="E15" s="12">
        <v>2</v>
      </c>
      <c r="F15" s="30" t="str">
        <f>CONCATENATE($C$2,"_",Tabela8151718[[#This Row],[EV]])</f>
        <v>IHM_UserID</v>
      </c>
      <c r="G15" s="30" t="str">
        <f>IF(Tabela8151718[[#This Row],[R|W]]="D","-",CONCATENATE(IF(Tabela8151718[[#This Row],[B|N]]="Inteira","40","00"),IF(Tabela8151718[[#This Row],[R|W]]="W","5","0"),$B$2,Tabela8151718[[#This Row],[N]]))</f>
        <v>405002</v>
      </c>
      <c r="H15" s="30" t="str">
        <f>CONCATENATE($C$2,".",Tabela8151718[[#This Row],[EV]])</f>
        <v>IHM.UserID</v>
      </c>
      <c r="I15" s="30" t="str">
        <f>IF(Tabela8151718[[#This Row],[R|W]]="D","-",CONCATENATE(IF(Tabela8151718[[#This Row],[R|W]]="W","5","0"),$B$2,Tabela8151718[[#This Row],[N]]))</f>
        <v>5002</v>
      </c>
      <c r="J15" s="12"/>
      <c r="K15" s="10" t="s">
        <v>257</v>
      </c>
      <c r="L15" s="24">
        <v>12</v>
      </c>
    </row>
    <row r="16" spans="1:12" ht="15.75" x14ac:dyDescent="0.25">
      <c r="B16" s="7" t="s">
        <v>315</v>
      </c>
      <c r="C16" s="10" t="s">
        <v>149</v>
      </c>
      <c r="D16" s="12" t="s">
        <v>129</v>
      </c>
      <c r="E16" s="18">
        <v>3</v>
      </c>
      <c r="F16" s="10" t="str">
        <f>CONCATENATE($C$2,"_",Tabela8151718[[#This Row],[EV]])</f>
        <v>IHM_OrderA</v>
      </c>
      <c r="G16" s="10" t="str">
        <f>IF(Tabela8151718[[#This Row],[R|W]]="D","-",CONCATENATE(IF(Tabela8151718[[#This Row],[B|N]]="Inteira","40","00"),IF(Tabela8151718[[#This Row],[R|W]]="W","5","0"),$B$2,Tabela8151718[[#This Row],[N]]))</f>
        <v>405003</v>
      </c>
      <c r="H16" s="10" t="str">
        <f>CONCATENATE($C$2,".",Tabela8151718[[#This Row],[EV]])</f>
        <v>IHM.OrderA</v>
      </c>
      <c r="I16" s="10" t="str">
        <f>IF(Tabela8151718[[#This Row],[R|W]]="D","-",CONCATENATE(IF(Tabela8151718[[#This Row],[R|W]]="W","5","0"),$B$2,Tabela8151718[[#This Row],[N]]))</f>
        <v>5003</v>
      </c>
      <c r="J16" s="2"/>
      <c r="L16" s="24">
        <v>13</v>
      </c>
    </row>
    <row r="17" spans="1:12" ht="15.75" x14ac:dyDescent="0.25">
      <c r="B17" s="7" t="s">
        <v>316</v>
      </c>
      <c r="C17" s="10" t="s">
        <v>149</v>
      </c>
      <c r="D17" s="12" t="s">
        <v>129</v>
      </c>
      <c r="E17" s="12">
        <v>4</v>
      </c>
      <c r="F17" s="30" t="str">
        <f>CONCATENATE($C$2,"_",Tabela8151718[[#This Row],[EV]])</f>
        <v>IHM_OrderB</v>
      </c>
      <c r="G17" s="30" t="str">
        <f>IF(Tabela8151718[[#This Row],[R|W]]="D","-",CONCATENATE(IF(Tabela8151718[[#This Row],[B|N]]="Inteira","40","00"),IF(Tabela8151718[[#This Row],[R|W]]="W","5","0"),$B$2,Tabela8151718[[#This Row],[N]]))</f>
        <v>405004</v>
      </c>
      <c r="H17" s="30" t="str">
        <f>CONCATENATE($C$2,".",Tabela8151718[[#This Row],[EV]])</f>
        <v>IHM.OrderB</v>
      </c>
      <c r="I17" s="30" t="str">
        <f>IF(Tabela8151718[[#This Row],[R|W]]="D","-",CONCATENATE(IF(Tabela8151718[[#This Row],[R|W]]="W","5","0"),$B$2,Tabela8151718[[#This Row],[N]]))</f>
        <v>5004</v>
      </c>
      <c r="J17" s="12"/>
      <c r="L17" s="24">
        <v>14</v>
      </c>
    </row>
    <row r="18" spans="1:12" ht="15.75" x14ac:dyDescent="0.25">
      <c r="B18" s="7" t="s">
        <v>317</v>
      </c>
      <c r="C18" s="10" t="s">
        <v>149</v>
      </c>
      <c r="D18" s="12" t="s">
        <v>129</v>
      </c>
      <c r="E18" s="12">
        <v>5</v>
      </c>
      <c r="F18" s="30" t="str">
        <f>CONCATENATE($C$2,"_",Tabela8151718[[#This Row],[EV]])</f>
        <v>IHM_ProductionGoal</v>
      </c>
      <c r="G18" s="30" t="str">
        <f>IF(Tabela8151718[[#This Row],[R|W]]="D","-",CONCATENATE(IF(Tabela8151718[[#This Row],[B|N]]="Inteira","40","00"),IF(Tabela8151718[[#This Row],[R|W]]="W","5","0"),$B$2,Tabela8151718[[#This Row],[N]]))</f>
        <v>405005</v>
      </c>
      <c r="H18" s="30" t="str">
        <f>CONCATENATE($C$2,".",Tabela8151718[[#This Row],[EV]])</f>
        <v>IHM.ProductionGoal</v>
      </c>
      <c r="I18" s="30" t="str">
        <f>IF(Tabela8151718[[#This Row],[R|W]]="D","-",CONCATENATE(IF(Tabela8151718[[#This Row],[R|W]]="W","5","0"),$B$2,Tabela8151718[[#This Row],[N]]))</f>
        <v>5005</v>
      </c>
      <c r="J18" s="12"/>
      <c r="K18" s="10" t="s">
        <v>257</v>
      </c>
      <c r="L18" s="24">
        <v>15</v>
      </c>
    </row>
    <row r="19" spans="1:12" ht="15.75" x14ac:dyDescent="0.25">
      <c r="B19" s="7" t="s">
        <v>318</v>
      </c>
      <c r="C19" s="10" t="s">
        <v>149</v>
      </c>
      <c r="D19" s="12" t="s">
        <v>129</v>
      </c>
      <c r="E19" s="12">
        <v>6</v>
      </c>
      <c r="F19" s="30" t="str">
        <f>CONCATENATE($C$2,"_",Tabela8151718[[#This Row],[EV]])</f>
        <v>IHM_ReworkGoal</v>
      </c>
      <c r="G19" s="30" t="str">
        <f>IF(Tabela8151718[[#This Row],[R|W]]="D","-",CONCATENATE(IF(Tabela8151718[[#This Row],[B|N]]="Inteira","40","00"),IF(Tabela8151718[[#This Row],[R|W]]="W","5","0"),$B$2,Tabela8151718[[#This Row],[N]]))</f>
        <v>405006</v>
      </c>
      <c r="H19" s="30" t="str">
        <f>CONCATENATE($C$2,".",Tabela8151718[[#This Row],[EV]])</f>
        <v>IHM.ReworkGoal</v>
      </c>
      <c r="I19" s="30" t="str">
        <f>IF(Tabela8151718[[#This Row],[R|W]]="D","-",CONCATENATE(IF(Tabela8151718[[#This Row],[R|W]]="W","5","0"),$B$2,Tabela8151718[[#This Row],[N]]))</f>
        <v>5006</v>
      </c>
      <c r="J19" s="24"/>
      <c r="L19" s="24">
        <v>16</v>
      </c>
    </row>
    <row r="20" spans="1:12" ht="15.75" x14ac:dyDescent="0.25">
      <c r="B20" s="7" t="s">
        <v>319</v>
      </c>
      <c r="C20" s="10" t="s">
        <v>149</v>
      </c>
      <c r="D20" s="12" t="s">
        <v>129</v>
      </c>
      <c r="E20" s="12">
        <v>7</v>
      </c>
      <c r="F20" s="30" t="str">
        <f>CONCATENATE($C$2,"_",Tabela8151718[[#This Row],[EV]])</f>
        <v>IHM_RepositionGoal</v>
      </c>
      <c r="G20" s="30" t="str">
        <f>IF(Tabela8151718[[#This Row],[R|W]]="D","-",CONCATENATE(IF(Tabela8151718[[#This Row],[B|N]]="Inteira","40","00"),IF(Tabela8151718[[#This Row],[R|W]]="W","5","0"),$B$2,Tabela8151718[[#This Row],[N]]))</f>
        <v>405007</v>
      </c>
      <c r="H20" s="30" t="str">
        <f>CONCATENATE($C$2,".",Tabela8151718[[#This Row],[EV]])</f>
        <v>IHM.RepositionGoal</v>
      </c>
      <c r="I20" s="30" t="str">
        <f>IF(Tabela8151718[[#This Row],[R|W]]="D","-",CONCATENATE(IF(Tabela8151718[[#This Row],[R|W]]="W","5","0"),$B$2,Tabela8151718[[#This Row],[N]]))</f>
        <v>5007</v>
      </c>
      <c r="J20" s="24"/>
      <c r="L20" s="24">
        <v>17</v>
      </c>
    </row>
    <row r="21" spans="1:12" ht="15.75" x14ac:dyDescent="0.25">
      <c r="B21" s="7" t="s">
        <v>335</v>
      </c>
      <c r="C21" s="10" t="s">
        <v>149</v>
      </c>
      <c r="D21" s="12" t="s">
        <v>129</v>
      </c>
      <c r="E21" s="12">
        <v>8</v>
      </c>
      <c r="F21" s="30" t="str">
        <f>CONCATENATE($C$2,"_",Tabela8151718[[#This Row],[EV]])</f>
        <v>IHM_Q</v>
      </c>
      <c r="G21" s="30" t="str">
        <f>IF(Tabela8151718[[#This Row],[R|W]]="D","-",CONCATENATE(IF(Tabela8151718[[#This Row],[B|N]]="Inteira","40","00"),IF(Tabela8151718[[#This Row],[R|W]]="W","5","0"),$B$2,Tabela8151718[[#This Row],[N]]))</f>
        <v>405008</v>
      </c>
      <c r="H21" s="30" t="str">
        <f>CONCATENATE($C$2,".",Tabela8151718[[#This Row],[EV]])</f>
        <v>IHM.Q</v>
      </c>
      <c r="I21" s="30" t="str">
        <f>IF(Tabela8151718[[#This Row],[R|W]]="D","-",CONCATENATE(IF(Tabela8151718[[#This Row],[R|W]]="W","5","0"),$B$2,Tabela8151718[[#This Row],[N]]))</f>
        <v>5008</v>
      </c>
      <c r="J21" s="24"/>
      <c r="L21" s="24"/>
    </row>
    <row r="22" spans="1:12" ht="15.75" x14ac:dyDescent="0.25">
      <c r="B22" s="7" t="s">
        <v>336</v>
      </c>
      <c r="C22" s="10" t="s">
        <v>149</v>
      </c>
      <c r="D22" s="12" t="s">
        <v>129</v>
      </c>
      <c r="E22" s="12">
        <v>9</v>
      </c>
      <c r="F22" s="30" t="str">
        <f>CONCATENATE($C$2,"_",Tabela8151718[[#This Row],[EV]])</f>
        <v>IHM_ZGS</v>
      </c>
      <c r="G22" s="30" t="str">
        <f>IF(Tabela8151718[[#This Row],[R|W]]="D","-",CONCATENATE(IF(Tabela8151718[[#This Row],[B|N]]="Inteira","40","00"),IF(Tabela8151718[[#This Row],[R|W]]="W","5","0"),$B$2,Tabela8151718[[#This Row],[N]]))</f>
        <v>405009</v>
      </c>
      <c r="H22" s="30" t="str">
        <f>CONCATENATE($C$2,".",Tabela8151718[[#This Row],[EV]])</f>
        <v>IHM.ZGS</v>
      </c>
      <c r="I22" s="30" t="str">
        <f>IF(Tabela8151718[[#This Row],[R|W]]="D","-",CONCATENATE(IF(Tabela8151718[[#This Row],[R|W]]="W","5","0"),$B$2,Tabela8151718[[#This Row],[N]]))</f>
        <v>5009</v>
      </c>
      <c r="J22" s="24"/>
      <c r="L22" s="24"/>
    </row>
    <row r="24" spans="1:12" x14ac:dyDescent="0.25">
      <c r="A24" s="15"/>
      <c r="B24" s="42" t="s">
        <v>138</v>
      </c>
      <c r="C24" s="10" t="s">
        <v>127</v>
      </c>
      <c r="L24" s="15"/>
    </row>
    <row r="25" spans="1:12" ht="16.5" thickBot="1" x14ac:dyDescent="0.3">
      <c r="B25" s="11" t="s">
        <v>125</v>
      </c>
      <c r="C25" s="14" t="s">
        <v>2</v>
      </c>
      <c r="D25" s="14" t="s">
        <v>3</v>
      </c>
      <c r="E25" s="20" t="s">
        <v>126</v>
      </c>
      <c r="F25" s="11" t="s">
        <v>140</v>
      </c>
      <c r="G25" s="14" t="s">
        <v>141</v>
      </c>
      <c r="H25" s="14" t="s">
        <v>142</v>
      </c>
      <c r="I25" s="14" t="s">
        <v>143</v>
      </c>
      <c r="J25" s="14" t="s">
        <v>139</v>
      </c>
      <c r="K25" s="14" t="s">
        <v>144</v>
      </c>
    </row>
    <row r="26" spans="1:12" ht="15.75" x14ac:dyDescent="0.25">
      <c r="B26" s="7" t="s">
        <v>324</v>
      </c>
      <c r="C26" s="10" t="s">
        <v>149</v>
      </c>
      <c r="D26" s="12" t="s">
        <v>129</v>
      </c>
      <c r="E26" s="12">
        <v>1</v>
      </c>
      <c r="F26" s="30" t="str">
        <f>CONCATENATE($C$24,"_",Tabela815171819[[#This Row],[EV]])</f>
        <v>IHM_Year</v>
      </c>
      <c r="G26" s="30" t="str">
        <f>IF(Tabela815171819[[#This Row],[R|W]]="D","-",CONCATENATE(IF(Tabela815171819[[#This Row],[B|N]]="Inteira","40","00"),IF(Tabela815171819[[#This Row],[R|W]]="W","5","0"),$B$24,Tabela815171819[[#This Row],[N]]))</f>
        <v>405011</v>
      </c>
      <c r="H26" s="30" t="str">
        <f>CONCATENATE($C$24,".",Tabela815171819[[#This Row],[EV]])</f>
        <v>IHM.Year</v>
      </c>
      <c r="I26" s="30" t="str">
        <f>IF(Tabela815171819[[#This Row],[R|W]]="D","-",CONCATENATE(IF(Tabela815171819[[#This Row],[R|W]]="W","5","0"),$B$24,Tabela815171819[[#This Row],[N]]))</f>
        <v>5011</v>
      </c>
      <c r="J26" s="31"/>
    </row>
    <row r="27" spans="1:12" ht="15.75" x14ac:dyDescent="0.25">
      <c r="B27" s="7" t="s">
        <v>325</v>
      </c>
      <c r="C27" s="10" t="s">
        <v>149</v>
      </c>
      <c r="D27" s="12" t="s">
        <v>129</v>
      </c>
      <c r="E27" s="12">
        <v>2</v>
      </c>
      <c r="F27" s="30" t="str">
        <f>CONCATENATE($C$24,"_",Tabela815171819[[#This Row],[EV]])</f>
        <v>IHM_Month</v>
      </c>
      <c r="G27" s="30" t="str">
        <f>IF(Tabela815171819[[#This Row],[R|W]]="D","-",CONCATENATE(IF(Tabela815171819[[#This Row],[B|N]]="Inteira","40","00"),IF(Tabela815171819[[#This Row],[R|W]]="W","5","0"),$B$24,Tabela815171819[[#This Row],[N]]))</f>
        <v>405012</v>
      </c>
      <c r="H27" s="30" t="str">
        <f>CONCATENATE($C$24,".",Tabela815171819[[#This Row],[EV]])</f>
        <v>IHM.Month</v>
      </c>
      <c r="I27" s="30" t="str">
        <f>IF(Tabela815171819[[#This Row],[R|W]]="D","-",CONCATENATE(IF(Tabela815171819[[#This Row],[R|W]]="W","5","0"),$B$24,Tabela815171819[[#This Row],[N]]))</f>
        <v>5012</v>
      </c>
      <c r="J27" s="31"/>
    </row>
    <row r="28" spans="1:12" ht="15.75" x14ac:dyDescent="0.25">
      <c r="B28" s="7" t="s">
        <v>326</v>
      </c>
      <c r="C28" s="10" t="s">
        <v>149</v>
      </c>
      <c r="D28" s="12" t="s">
        <v>129</v>
      </c>
      <c r="E28" s="12">
        <v>3</v>
      </c>
      <c r="F28" s="30" t="str">
        <f>CONCATENATE($C$24,"_",Tabela815171819[[#This Row],[EV]])</f>
        <v>IHM_Day</v>
      </c>
      <c r="G28" s="30" t="str">
        <f>IF(Tabela815171819[[#This Row],[R|W]]="D","-",CONCATENATE(IF(Tabela815171819[[#This Row],[B|N]]="Inteira","40","00"),IF(Tabela815171819[[#This Row],[R|W]]="W","5","0"),$B$24,Tabela815171819[[#This Row],[N]]))</f>
        <v>405013</v>
      </c>
      <c r="H28" s="30" t="str">
        <f>CONCATENATE($C$24,".",Tabela815171819[[#This Row],[EV]])</f>
        <v>IHM.Day</v>
      </c>
      <c r="I28" s="30" t="str">
        <f>IF(Tabela815171819[[#This Row],[R|W]]="D","-",CONCATENATE(IF(Tabela815171819[[#This Row],[R|W]]="W","5","0"),$B$24,Tabela815171819[[#This Row],[N]]))</f>
        <v>5013</v>
      </c>
      <c r="J28" s="31"/>
    </row>
    <row r="29" spans="1:12" ht="15.75" x14ac:dyDescent="0.25">
      <c r="B29" s="7" t="s">
        <v>327</v>
      </c>
      <c r="C29" s="10" t="s">
        <v>149</v>
      </c>
      <c r="D29" s="12" t="s">
        <v>129</v>
      </c>
      <c r="E29" s="12">
        <v>4</v>
      </c>
      <c r="F29" s="30" t="str">
        <f>CONCATENATE($C$24,"_",Tabela815171819[[#This Row],[EV]])</f>
        <v>IHM_Hour</v>
      </c>
      <c r="G29" s="30" t="str">
        <f>IF(Tabela815171819[[#This Row],[R|W]]="D","-",CONCATENATE(IF(Tabela815171819[[#This Row],[B|N]]="Inteira","40","00"),IF(Tabela815171819[[#This Row],[R|W]]="W","5","0"),$B$24,Tabela815171819[[#This Row],[N]]))</f>
        <v>405014</v>
      </c>
      <c r="H29" s="30" t="str">
        <f>CONCATENATE($C$24,".",Tabela815171819[[#This Row],[EV]])</f>
        <v>IHM.Hour</v>
      </c>
      <c r="I29" s="30" t="str">
        <f>IF(Tabela815171819[[#This Row],[R|W]]="D","-",CONCATENATE(IF(Tabela815171819[[#This Row],[R|W]]="W","5","0"),$B$24,Tabela815171819[[#This Row],[N]]))</f>
        <v>5014</v>
      </c>
      <c r="J29" s="31"/>
    </row>
    <row r="30" spans="1:12" ht="15.75" x14ac:dyDescent="0.25">
      <c r="B30" s="7" t="s">
        <v>328</v>
      </c>
      <c r="C30" s="10" t="s">
        <v>149</v>
      </c>
      <c r="D30" s="12" t="s">
        <v>129</v>
      </c>
      <c r="E30" s="12">
        <v>5</v>
      </c>
      <c r="F30" s="30" t="str">
        <f>CONCATENATE($C$24,"_",Tabela815171819[[#This Row],[EV]])</f>
        <v>IHM_Minute</v>
      </c>
      <c r="G30" s="30" t="str">
        <f>IF(Tabela815171819[[#This Row],[R|W]]="D","-",CONCATENATE(IF(Tabela815171819[[#This Row],[B|N]]="Inteira","40","00"),IF(Tabela815171819[[#This Row],[R|W]]="W","5","0"),$B$24,Tabela815171819[[#This Row],[N]]))</f>
        <v>405015</v>
      </c>
      <c r="H30" s="30" t="str">
        <f>CONCATENATE($C$24,".",Tabela815171819[[#This Row],[EV]])</f>
        <v>IHM.Minute</v>
      </c>
      <c r="I30" s="30" t="str">
        <f>IF(Tabela815171819[[#This Row],[R|W]]="D","-",CONCATENATE(IF(Tabela815171819[[#This Row],[R|W]]="W","5","0"),$B$24,Tabela815171819[[#This Row],[N]]))</f>
        <v>5015</v>
      </c>
      <c r="J30" s="31"/>
    </row>
    <row r="31" spans="1:12" ht="15.75" x14ac:dyDescent="0.25">
      <c r="B31" s="7" t="s">
        <v>329</v>
      </c>
      <c r="C31" s="10" t="s">
        <v>149</v>
      </c>
      <c r="D31" s="12" t="s">
        <v>129</v>
      </c>
      <c r="E31" s="12">
        <v>6</v>
      </c>
      <c r="F31" s="30" t="str">
        <f>CONCATENATE($C$24,"_",Tabela815171819[[#This Row],[EV]])</f>
        <v>IHM_Second</v>
      </c>
      <c r="G31" s="30" t="str">
        <f>IF(Tabela815171819[[#This Row],[R|W]]="D","-",CONCATENATE(IF(Tabela815171819[[#This Row],[B|N]]="Inteira","40","00"),IF(Tabela815171819[[#This Row],[R|W]]="W","5","0"),$B$24,Tabela815171819[[#This Row],[N]]))</f>
        <v>405016</v>
      </c>
      <c r="H31" s="30" t="str">
        <f>CONCATENATE($C$24,".",Tabela815171819[[#This Row],[EV]])</f>
        <v>IHM.Second</v>
      </c>
      <c r="I31" s="30" t="str">
        <f>IF(Tabela815171819[[#This Row],[R|W]]="D","-",CONCATENATE(IF(Tabela815171819[[#This Row],[R|W]]="W","5","0"),$B$24,Tabela815171819[[#This Row],[N]]))</f>
        <v>5016</v>
      </c>
      <c r="J31" s="31"/>
    </row>
    <row r="33" spans="2:11" x14ac:dyDescent="0.25">
      <c r="B33" s="42" t="s">
        <v>305</v>
      </c>
      <c r="C33" s="10" t="s">
        <v>321</v>
      </c>
    </row>
    <row r="34" spans="2:11" ht="16.5" thickBot="1" x14ac:dyDescent="0.3">
      <c r="B34" s="11" t="s">
        <v>125</v>
      </c>
      <c r="C34" s="14" t="s">
        <v>2</v>
      </c>
      <c r="D34" s="14" t="s">
        <v>3</v>
      </c>
      <c r="E34" s="20" t="s">
        <v>126</v>
      </c>
      <c r="F34" s="11" t="s">
        <v>140</v>
      </c>
      <c r="G34" s="14" t="s">
        <v>141</v>
      </c>
      <c r="H34" s="14" t="s">
        <v>142</v>
      </c>
      <c r="I34" s="14" t="s">
        <v>143</v>
      </c>
      <c r="J34" s="14" t="s">
        <v>139</v>
      </c>
      <c r="K34" s="14" t="s">
        <v>144</v>
      </c>
    </row>
    <row r="35" spans="2:11" ht="15.75" x14ac:dyDescent="0.25">
      <c r="B35" s="7" t="s">
        <v>322</v>
      </c>
      <c r="C35" s="10" t="s">
        <v>234</v>
      </c>
      <c r="D35" s="12" t="s">
        <v>150</v>
      </c>
      <c r="E35" s="18" t="s">
        <v>151</v>
      </c>
      <c r="F35" s="30" t="str">
        <f>CONCATENATE($C$33,"_",Tabela81517181914[[#This Row],[EV]])</f>
        <v>Deviation_Code</v>
      </c>
      <c r="G35" s="30" t="str">
        <f>IF(Tabela81517181914[[#This Row],[R|W]]="D","-",CONCATENATE(IF(Tabela81517181914[[#This Row],[B|N]]="Inteira","40","00"),IF(Tabela81517181914[[#This Row],[R|W]]="W","5","0"),$B$33,Tabela81517181914[[#This Row],[N]]))</f>
        <v>-</v>
      </c>
      <c r="H35" s="30" t="str">
        <f>CONCATENATE($C$33,".",Tabela81517181914[[#This Row],[EV]])</f>
        <v>Deviation.Code</v>
      </c>
      <c r="I35" s="30" t="str">
        <f>IF(Tabela81517181914[[#This Row],[R|W]]="D","-",CONCATENATE(IF(Tabela81517181914[[#This Row],[R|W]]="W","5","0"),$B$33,Tabela81517181914[[#This Row],[N]]))</f>
        <v>-</v>
      </c>
      <c r="J35" s="31"/>
    </row>
    <row r="36" spans="2:11" ht="15.75" x14ac:dyDescent="0.25">
      <c r="B36" s="7" t="s">
        <v>323</v>
      </c>
      <c r="C36" s="10" t="s">
        <v>234</v>
      </c>
      <c r="D36" s="12" t="s">
        <v>150</v>
      </c>
      <c r="E36" s="18" t="s">
        <v>151</v>
      </c>
      <c r="F36" s="30" t="str">
        <f>CONCATENATE($C$33,"_",Tabela81517181914[[#This Row],[EV]])</f>
        <v>Deviation_FinalDate</v>
      </c>
      <c r="G36" s="30" t="str">
        <f>IF(Tabela81517181914[[#This Row],[R|W]]="D","-",CONCATENATE(IF(Tabela81517181914[[#This Row],[B|N]]="Inteira","40","00"),IF(Tabela81517181914[[#This Row],[R|W]]="W","5","0"),$B$33,Tabela81517181914[[#This Row],[N]]))</f>
        <v>-</v>
      </c>
      <c r="H36" s="30" t="str">
        <f>CONCATENATE($C$33,".",Tabela81517181914[[#This Row],[EV]])</f>
        <v>Deviation.FinalDate</v>
      </c>
      <c r="I36" s="30" t="str">
        <f>IF(Tabela81517181914[[#This Row],[R|W]]="D","-",CONCATENATE(IF(Tabela81517181914[[#This Row],[R|W]]="W","5","0"),$B$33,Tabela81517181914[[#This Row],[N]]))</f>
        <v>-</v>
      </c>
      <c r="J36" s="31"/>
    </row>
    <row r="37" spans="2:11" ht="15.75" x14ac:dyDescent="0.25">
      <c r="B37" s="7" t="s">
        <v>309</v>
      </c>
      <c r="C37" s="10" t="s">
        <v>154</v>
      </c>
      <c r="D37" s="12" t="s">
        <v>129</v>
      </c>
      <c r="E37" s="12">
        <v>1</v>
      </c>
      <c r="F37" s="30" t="str">
        <f>CONCATENATE($C$33,"_",Tabela81517181914[[#This Row],[EV]])</f>
        <v>Deviation_Start</v>
      </c>
      <c r="G37" s="30" t="str">
        <f>IF(Tabela81517181914[[#This Row],[R|W]]="D","-",CONCATENATE(IF(Tabela81517181914[[#This Row],[B|N]]="Inteira","40","00"),IF(Tabela81517181914[[#This Row],[R|W]]="W","5","0"),$B$33,Tabela81517181914[[#This Row],[N]]))</f>
        <v>005021</v>
      </c>
      <c r="H37" s="30" t="str">
        <f>CONCATENATE($C$33,".",Tabela81517181914[[#This Row],[EV]])</f>
        <v>Deviation.Start</v>
      </c>
      <c r="I37" s="30" t="str">
        <f>IF(Tabela81517181914[[#This Row],[R|W]]="D","-",CONCATENATE(IF(Tabela81517181914[[#This Row],[R|W]]="W","5","0"),$B$33,Tabela81517181914[[#This Row],[N]]))</f>
        <v>5021</v>
      </c>
      <c r="J37" s="31"/>
    </row>
    <row r="38" spans="2:11" ht="15.75" x14ac:dyDescent="0.25">
      <c r="B38" s="7" t="s">
        <v>320</v>
      </c>
      <c r="C38" s="10" t="s">
        <v>149</v>
      </c>
      <c r="D38" s="12" t="s">
        <v>129</v>
      </c>
      <c r="E38" s="12">
        <v>1</v>
      </c>
      <c r="F38" s="30" t="str">
        <f>CONCATENATE($C$33,"_",Tabela81517181914[[#This Row],[EV]])</f>
        <v>Deviation_Goal</v>
      </c>
      <c r="G38" s="30" t="str">
        <f>IF(Tabela81517181914[[#This Row],[R|W]]="D","-",CONCATENATE(IF(Tabela81517181914[[#This Row],[B|N]]="Inteira","40","00"),IF(Tabela81517181914[[#This Row],[R|W]]="W","5","0"),$B$33,Tabela81517181914[[#This Row],[N]]))</f>
        <v>405021</v>
      </c>
      <c r="H38" s="30" t="str">
        <f>CONCATENATE($C$33,".",Tabela81517181914[[#This Row],[EV]])</f>
        <v>Deviation.Goal</v>
      </c>
      <c r="I38" s="30" t="str">
        <f>IF(Tabela81517181914[[#This Row],[R|W]]="D","-",CONCATENATE(IF(Tabela81517181914[[#This Row],[R|W]]="W","5","0"),$B$33,Tabela81517181914[[#This Row],[N]]))</f>
        <v>5021</v>
      </c>
      <c r="J38" s="31"/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737F-2CF3-40BE-9C1B-8FE92865DF2B}">
  <dimension ref="A2:K40"/>
  <sheetViews>
    <sheetView topLeftCell="A10" zoomScale="200" zoomScaleNormal="200" workbookViewId="0">
      <selection activeCell="C5" sqref="C5"/>
    </sheetView>
  </sheetViews>
  <sheetFormatPr defaultColWidth="9.140625" defaultRowHeight="15" x14ac:dyDescent="0.25"/>
  <cols>
    <col min="1" max="1" width="3" style="16" bestFit="1" customWidth="1"/>
    <col min="2" max="2" width="9.85546875" style="16" bestFit="1" customWidth="1"/>
    <col min="3" max="3" width="9.28515625" style="10" bestFit="1" customWidth="1"/>
    <col min="4" max="4" width="7.85546875" style="10" bestFit="1" customWidth="1"/>
    <col min="5" max="5" width="4.85546875" style="16" bestFit="1" customWidth="1"/>
    <col min="6" max="6" width="15" style="16" bestFit="1" customWidth="1"/>
    <col min="7" max="7" width="10.5703125" style="10" bestFit="1" customWidth="1"/>
    <col min="8" max="8" width="14.5703125" style="10" bestFit="1" customWidth="1"/>
    <col min="9" max="9" width="11.140625" style="10" bestFit="1" customWidth="1"/>
    <col min="10" max="10" width="12.5703125" style="10" bestFit="1" customWidth="1"/>
    <col min="11" max="11" width="3" style="16" bestFit="1" customWidth="1"/>
    <col min="12" max="12" width="27.140625" style="16" bestFit="1" customWidth="1"/>
    <col min="13" max="16384" width="9.140625" style="16"/>
  </cols>
  <sheetData>
    <row r="2" spans="1:11" x14ac:dyDescent="0.25">
      <c r="A2" s="15"/>
      <c r="B2" s="42" t="s">
        <v>305</v>
      </c>
      <c r="C2" s="10" t="str">
        <f>CONCATENATE("OP",RIGHT(B2,1),"0")</f>
        <v>OP20</v>
      </c>
      <c r="K2" s="15"/>
    </row>
    <row r="3" spans="1:11" ht="16.5" thickBot="1" x14ac:dyDescent="0.3">
      <c r="B3" s="11" t="s">
        <v>125</v>
      </c>
      <c r="C3" s="14" t="s">
        <v>2</v>
      </c>
      <c r="D3" s="14" t="s">
        <v>3</v>
      </c>
      <c r="E3" s="20" t="s">
        <v>126</v>
      </c>
      <c r="F3" s="11" t="s">
        <v>140</v>
      </c>
      <c r="G3" s="14" t="s">
        <v>141</v>
      </c>
      <c r="H3" s="14" t="s">
        <v>142</v>
      </c>
      <c r="I3" s="14" t="s">
        <v>143</v>
      </c>
      <c r="J3" s="14" t="s">
        <v>144</v>
      </c>
    </row>
    <row r="4" spans="1:11" ht="15.75" x14ac:dyDescent="0.25">
      <c r="B4" s="7" t="s">
        <v>133</v>
      </c>
      <c r="C4" s="10" t="s">
        <v>149</v>
      </c>
      <c r="D4" s="12" t="s">
        <v>150</v>
      </c>
      <c r="E4" s="18" t="s">
        <v>151</v>
      </c>
      <c r="F4" s="30" t="str">
        <f>CONCATENATE($C$2,"_",Tabela8151722[[#This Row],[EV]])</f>
        <v>OP20_Modelo</v>
      </c>
      <c r="G4" s="30" t="str">
        <f>IF(Tabela8151722[[#This Row],[R|W]]="D","-",CONCATENATE(IF(Tabela8151722[[#This Row],[B|N]]="Inteira","40","00"),IF(Tabela8151722[[#This Row],[R|W]]="W","5","0"),$B$2,Tabela8151722[[#This Row],[N]]))</f>
        <v>-</v>
      </c>
      <c r="H4" s="30" t="str">
        <f>CONCATENATE($C$2,".",Tabela8151722[[#This Row],[EV]])</f>
        <v>OP20.Modelo</v>
      </c>
      <c r="I4" s="30" t="str">
        <f>IF(Tabela8151722[[#This Row],[R|W]]="D","-",CONCATENATE(IF(Tabela8151722[[#This Row],[R|W]]="W","5","0"),$B$2,Tabela8151722[[#This Row],[N]]))</f>
        <v>-</v>
      </c>
    </row>
    <row r="5" spans="1:11" ht="15.75" x14ac:dyDescent="0.25">
      <c r="B5" s="7" t="s">
        <v>236</v>
      </c>
      <c r="C5" s="10" t="s">
        <v>149</v>
      </c>
      <c r="D5" s="12" t="s">
        <v>150</v>
      </c>
      <c r="E5" s="18" t="s">
        <v>151</v>
      </c>
      <c r="F5" s="30" t="str">
        <f>CONCATENATE($C$2,"_",Tabela8151722[[#This Row],[EV]])</f>
        <v>OP20_Ordem</v>
      </c>
      <c r="G5" s="30" t="str">
        <f>IF(Tabela8151722[[#This Row],[R|W]]="D","-",CONCATENATE(IF(Tabela8151722[[#This Row],[B|N]]="Inteira","40","00"),IF(Tabela8151722[[#This Row],[R|W]]="W","5","0"),$B$2,Tabela8151722[[#This Row],[N]]))</f>
        <v>-</v>
      </c>
      <c r="H5" s="30" t="str">
        <f>CONCATENATE($C$2,".",Tabela8151722[[#This Row],[EV]])</f>
        <v>OP20.Ordem</v>
      </c>
      <c r="I5" s="30" t="str">
        <f>IF(Tabela8151722[[#This Row],[R|W]]="D","-",CONCATENATE(IF(Tabela8151722[[#This Row],[R|W]]="W","5","0"),$B$2,Tabela8151722[[#This Row],[N]]))</f>
        <v>-</v>
      </c>
    </row>
    <row r="6" spans="1:11" ht="15.75" x14ac:dyDescent="0.25">
      <c r="B6" s="7" t="s">
        <v>147</v>
      </c>
      <c r="C6" s="10" t="s">
        <v>154</v>
      </c>
      <c r="D6" s="12" t="s">
        <v>132</v>
      </c>
      <c r="E6" s="18">
        <v>1</v>
      </c>
      <c r="F6" s="10" t="str">
        <f>CONCATENATE($C$2,"_",Tabela8151722[[#This Row],[EV]])</f>
        <v>OP20_Salvar</v>
      </c>
      <c r="G6" s="10" t="str">
        <f>IF(Tabela8151722[[#This Row],[R|W]]="D","-",CONCATENATE(IF(Tabela8151722[[#This Row],[B|N]]="Inteira","40","00"),IF(Tabela8151722[[#This Row],[R|W]]="W","5","0"),$B$2,Tabela8151722[[#This Row],[N]]))</f>
        <v>000021</v>
      </c>
      <c r="H6" s="10" t="str">
        <f>CONCATENATE($C$2,".",Tabela8151722[[#This Row],[EV]])</f>
        <v>OP20.Salvar</v>
      </c>
      <c r="I6" s="10" t="str">
        <f>IF(Tabela8151722[[#This Row],[R|W]]="D","-",CONCATENATE(IF(Tabela8151722[[#This Row],[R|W]]="W","5","0"),$B$2,Tabela8151722[[#This Row],[N]]))</f>
        <v>0021</v>
      </c>
    </row>
    <row r="7" spans="1:11" ht="15.75" x14ac:dyDescent="0.25">
      <c r="B7" s="7" t="s">
        <v>302</v>
      </c>
      <c r="C7" s="10" t="s">
        <v>149</v>
      </c>
      <c r="D7" s="12" t="s">
        <v>132</v>
      </c>
      <c r="E7" s="18">
        <v>1</v>
      </c>
      <c r="F7" s="10" t="str">
        <f>CONCATENATE($C$2,"_",Tabela8151722[[#This Row],[EV]])</f>
        <v>OP20_Passo</v>
      </c>
      <c r="G7" s="10" t="str">
        <f>IF(Tabela8151722[[#This Row],[R|W]]="D","-",CONCATENATE(IF(Tabela8151722[[#This Row],[B|N]]="Inteira","40","00"),IF(Tabela8151722[[#This Row],[R|W]]="W","5","0"),$B$2,Tabela8151722[[#This Row],[N]]))</f>
        <v>400021</v>
      </c>
      <c r="H7" s="10" t="str">
        <f>CONCATENATE($C$2,".",Tabela8151722[[#This Row],[EV]])</f>
        <v>OP20.Passo</v>
      </c>
      <c r="I7" s="10" t="str">
        <f>IF(Tabela8151722[[#This Row],[R|W]]="D","-",CONCATENATE(IF(Tabela8151722[[#This Row],[R|W]]="W","5","0"),$B$2,Tabela8151722[[#This Row],[N]]))</f>
        <v>0021</v>
      </c>
    </row>
    <row r="8" spans="1:11" ht="15.75" x14ac:dyDescent="0.25">
      <c r="B8" s="7" t="s">
        <v>226</v>
      </c>
      <c r="C8" s="10" t="s">
        <v>149</v>
      </c>
      <c r="D8" s="12" t="s">
        <v>132</v>
      </c>
      <c r="E8" s="12">
        <v>2</v>
      </c>
      <c r="F8" s="30" t="str">
        <f>CONCATENATE($C$2,"_",Tabela8151722[[#This Row],[EV]])</f>
        <v>OP20_Producao</v>
      </c>
      <c r="G8" s="30" t="str">
        <f>IF(Tabela8151722[[#This Row],[R|W]]="D","-",CONCATENATE(IF(Tabela8151722[[#This Row],[B|N]]="Inteira","40","00"),IF(Tabela8151722[[#This Row],[R|W]]="W","5","0"),$B$2,Tabela8151722[[#This Row],[N]]))</f>
        <v>400022</v>
      </c>
      <c r="H8" s="30" t="str">
        <f>CONCATENATE($C$2,".",Tabela8151722[[#This Row],[EV]])</f>
        <v>OP20.Producao</v>
      </c>
      <c r="I8" s="30" t="str">
        <f>IF(Tabela8151722[[#This Row],[R|W]]="D","-",CONCATENATE(IF(Tabela8151722[[#This Row],[R|W]]="W","5","0"),$B$2,Tabela8151722[[#This Row],[N]]))</f>
        <v>0022</v>
      </c>
    </row>
    <row r="10" spans="1:11" x14ac:dyDescent="0.25">
      <c r="B10" s="42" t="s">
        <v>304</v>
      </c>
      <c r="C10" s="10" t="str">
        <f>CONCATENATE("OP",RIGHT(B10,1),"0")</f>
        <v>OP30</v>
      </c>
    </row>
    <row r="11" spans="1:11" ht="16.5" thickBot="1" x14ac:dyDescent="0.3">
      <c r="B11" s="11" t="s">
        <v>125</v>
      </c>
      <c r="C11" s="14" t="s">
        <v>2</v>
      </c>
      <c r="D11" s="14" t="s">
        <v>3</v>
      </c>
      <c r="E11" s="20" t="s">
        <v>126</v>
      </c>
      <c r="F11" s="11" t="s">
        <v>140</v>
      </c>
      <c r="G11" s="14" t="s">
        <v>141</v>
      </c>
      <c r="H11" s="14" t="s">
        <v>142</v>
      </c>
      <c r="I11" s="14" t="s">
        <v>143</v>
      </c>
      <c r="J11" s="14" t="s">
        <v>144</v>
      </c>
    </row>
    <row r="12" spans="1:11" ht="15.75" x14ac:dyDescent="0.25">
      <c r="B12" s="7" t="s">
        <v>133</v>
      </c>
      <c r="C12" s="10" t="s">
        <v>149</v>
      </c>
      <c r="D12" s="12" t="s">
        <v>150</v>
      </c>
      <c r="E12" s="18" t="s">
        <v>151</v>
      </c>
      <c r="F12" s="30" t="str">
        <f>CONCATENATE($C$10,"_",Tabela81517225[[#This Row],[EV]])</f>
        <v>OP30_Modelo</v>
      </c>
      <c r="G12" s="30" t="str">
        <f>IF(Tabela81517225[[#This Row],[R|W]]="D","-",CONCATENATE(IF(Tabela81517225[[#This Row],[B|N]]="Inteira","40","00"),IF(Tabela81517225[[#This Row],[R|W]]="W","5","0"),$B$10,Tabela81517225[[#This Row],[N]]))</f>
        <v>-</v>
      </c>
      <c r="H12" s="30" t="str">
        <f>CONCATENATE($C$10,".",Tabela81517225[[#This Row],[EV]])</f>
        <v>OP30.Modelo</v>
      </c>
      <c r="I12" s="30" t="str">
        <f>IF(Tabela81517225[[#This Row],[R|W]]="D","-",CONCATENATE(IF(Tabela81517225[[#This Row],[R|W]]="W","5","0"),$B$10,Tabela81517225[[#This Row],[N]]))</f>
        <v>-</v>
      </c>
    </row>
    <row r="13" spans="1:11" ht="15.75" x14ac:dyDescent="0.25">
      <c r="B13" s="7" t="s">
        <v>236</v>
      </c>
      <c r="C13" s="10" t="s">
        <v>149</v>
      </c>
      <c r="D13" s="12" t="s">
        <v>150</v>
      </c>
      <c r="E13" s="18" t="s">
        <v>151</v>
      </c>
      <c r="F13" s="30" t="str">
        <f>CONCATENATE($C$10,"_",Tabela81517225[[#This Row],[EV]])</f>
        <v>OP30_Ordem</v>
      </c>
      <c r="G13" s="30" t="str">
        <f>IF(Tabela81517225[[#This Row],[R|W]]="D","-",CONCATENATE(IF(Tabela81517225[[#This Row],[B|N]]="Inteira","40","00"),IF(Tabela81517225[[#This Row],[R|W]]="W","5","0"),$B$10,Tabela81517225[[#This Row],[N]]))</f>
        <v>-</v>
      </c>
      <c r="H13" s="30" t="str">
        <f>CONCATENATE($C$10,".",Tabela81517225[[#This Row],[EV]])</f>
        <v>OP30.Ordem</v>
      </c>
      <c r="I13" s="30" t="str">
        <f>IF(Tabela81517225[[#This Row],[R|W]]="D","-",CONCATENATE(IF(Tabela81517225[[#This Row],[R|W]]="W","5","0"),$B$10,Tabela81517225[[#This Row],[N]]))</f>
        <v>-</v>
      </c>
    </row>
    <row r="14" spans="1:11" ht="15.75" x14ac:dyDescent="0.25">
      <c r="B14" s="7" t="s">
        <v>147</v>
      </c>
      <c r="C14" s="10" t="s">
        <v>154</v>
      </c>
      <c r="D14" s="12" t="s">
        <v>132</v>
      </c>
      <c r="E14" s="18">
        <v>1</v>
      </c>
      <c r="F14" s="10" t="str">
        <f>CONCATENATE($C$10,"_",Tabela81517225[[#This Row],[EV]])</f>
        <v>OP30_Salvar</v>
      </c>
      <c r="G14" s="10" t="str">
        <f>IF(Tabela81517225[[#This Row],[R|W]]="D","-",CONCATENATE(IF(Tabela81517225[[#This Row],[B|N]]="Inteira","40","00"),IF(Tabela81517225[[#This Row],[R|W]]="W","5","0"),$B$10,Tabela81517225[[#This Row],[N]]))</f>
        <v>000031</v>
      </c>
      <c r="H14" s="10" t="str">
        <f>CONCATENATE($C$10,".",Tabela81517225[[#This Row],[EV]])</f>
        <v>OP30.Salvar</v>
      </c>
      <c r="I14" s="10" t="str">
        <f>IF(Tabela81517225[[#This Row],[R|W]]="D","-",CONCATENATE(IF(Tabela81517225[[#This Row],[R|W]]="W","5","0"),$B$10,Tabela81517225[[#This Row],[N]]))</f>
        <v>0031</v>
      </c>
    </row>
    <row r="15" spans="1:11" ht="15.75" x14ac:dyDescent="0.25">
      <c r="B15" s="7" t="s">
        <v>302</v>
      </c>
      <c r="C15" s="10" t="s">
        <v>149</v>
      </c>
      <c r="D15" s="12" t="s">
        <v>132</v>
      </c>
      <c r="E15" s="18">
        <v>1</v>
      </c>
      <c r="F15" s="10" t="str">
        <f>CONCATENATE($C$10,"_",Tabela81517225[[#This Row],[EV]])</f>
        <v>OP30_Passo</v>
      </c>
      <c r="G15" s="10" t="str">
        <f>IF(Tabela81517225[[#This Row],[R|W]]="D","-",CONCATENATE(IF(Tabela81517225[[#This Row],[B|N]]="Inteira","40","00"),IF(Tabela81517225[[#This Row],[R|W]]="W","5","0"),$B$10,Tabela81517225[[#This Row],[N]]))</f>
        <v>400031</v>
      </c>
      <c r="H15" s="10" t="str">
        <f>CONCATENATE($C$10,".",Tabela81517225[[#This Row],[EV]])</f>
        <v>OP30.Passo</v>
      </c>
      <c r="I15" s="10" t="str">
        <f>IF(Tabela81517225[[#This Row],[R|W]]="D","-",CONCATENATE(IF(Tabela81517225[[#This Row],[R|W]]="W","5","0"),$B$10,Tabela81517225[[#This Row],[N]]))</f>
        <v>0031</v>
      </c>
    </row>
    <row r="16" spans="1:11" ht="15.75" x14ac:dyDescent="0.25">
      <c r="B16" s="7" t="s">
        <v>226</v>
      </c>
      <c r="C16" s="10" t="s">
        <v>149</v>
      </c>
      <c r="D16" s="12" t="s">
        <v>132</v>
      </c>
      <c r="E16" s="12">
        <v>2</v>
      </c>
      <c r="F16" s="30" t="str">
        <f>CONCATENATE($C$10,"_",Tabela81517225[[#This Row],[EV]])</f>
        <v>OP30_Producao</v>
      </c>
      <c r="G16" s="30" t="str">
        <f>IF(Tabela81517225[[#This Row],[R|W]]="D","-",CONCATENATE(IF(Tabela81517225[[#This Row],[B|N]]="Inteira","40","00"),IF(Tabela81517225[[#This Row],[R|W]]="W","5","0"),$B$10,Tabela81517225[[#This Row],[N]]))</f>
        <v>400032</v>
      </c>
      <c r="H16" s="30" t="str">
        <f>CONCATENATE($C$10,".",Tabela81517225[[#This Row],[EV]])</f>
        <v>OP30.Producao</v>
      </c>
      <c r="I16" s="30" t="str">
        <f>IF(Tabela81517225[[#This Row],[R|W]]="D","-",CONCATENATE(IF(Tabela81517225[[#This Row],[R|W]]="W","5","0"),$B$10,Tabela81517225[[#This Row],[N]]))</f>
        <v>0032</v>
      </c>
    </row>
    <row r="18" spans="2:10" x14ac:dyDescent="0.25">
      <c r="B18" s="42" t="s">
        <v>301</v>
      </c>
      <c r="C18" s="10" t="str">
        <f>CONCATENATE("OP",RIGHT(B18,1),"0")</f>
        <v>OP40</v>
      </c>
    </row>
    <row r="19" spans="2:10" ht="16.5" thickBot="1" x14ac:dyDescent="0.3">
      <c r="B19" s="11" t="s">
        <v>125</v>
      </c>
      <c r="C19" s="14" t="s">
        <v>2</v>
      </c>
      <c r="D19" s="14" t="s">
        <v>3</v>
      </c>
      <c r="E19" s="20" t="s">
        <v>126</v>
      </c>
      <c r="F19" s="11" t="s">
        <v>140</v>
      </c>
      <c r="G19" s="14" t="s">
        <v>141</v>
      </c>
      <c r="H19" s="14" t="s">
        <v>142</v>
      </c>
      <c r="I19" s="14" t="s">
        <v>143</v>
      </c>
      <c r="J19" s="14" t="s">
        <v>144</v>
      </c>
    </row>
    <row r="20" spans="2:10" ht="15.75" x14ac:dyDescent="0.25">
      <c r="B20" s="7" t="s">
        <v>133</v>
      </c>
      <c r="C20" s="10" t="s">
        <v>149</v>
      </c>
      <c r="D20" s="12" t="s">
        <v>150</v>
      </c>
      <c r="E20" s="18" t="s">
        <v>151</v>
      </c>
      <c r="F20" s="30" t="str">
        <f>CONCATENATE($C$18,"_",Tabela815172256[[#This Row],[EV]])</f>
        <v>OP40_Modelo</v>
      </c>
      <c r="G20" s="30" t="str">
        <f>IF(Tabela815172256[[#This Row],[R|W]]="D","-",CONCATENATE(IF(Tabela815172256[[#This Row],[B|N]]="Inteira","40","00"),IF(Tabela815172256[[#This Row],[R|W]]="W","5","0"),$B$18,Tabela815172256[[#This Row],[N]]))</f>
        <v>-</v>
      </c>
      <c r="H20" s="30" t="str">
        <f>CONCATENATE($C$18,".",Tabela815172256[[#This Row],[EV]])</f>
        <v>OP40.Modelo</v>
      </c>
      <c r="I20" s="30" t="str">
        <f>IF(Tabela815172256[[#This Row],[R|W]]="D","-",CONCATENATE(IF(Tabela815172256[[#This Row],[R|W]]="W","5","0"),$B$18,Tabela815172256[[#This Row],[N]]))</f>
        <v>-</v>
      </c>
    </row>
    <row r="21" spans="2:10" ht="15.75" x14ac:dyDescent="0.25">
      <c r="B21" s="7" t="s">
        <v>236</v>
      </c>
      <c r="C21" s="10" t="s">
        <v>149</v>
      </c>
      <c r="D21" s="12" t="s">
        <v>150</v>
      </c>
      <c r="E21" s="18" t="s">
        <v>151</v>
      </c>
      <c r="F21" s="30" t="str">
        <f>CONCATENATE($C$18,"_",Tabela815172256[[#This Row],[EV]])</f>
        <v>OP40_Ordem</v>
      </c>
      <c r="G21" s="30" t="str">
        <f>IF(Tabela815172256[[#This Row],[R|W]]="D","-",CONCATENATE(IF(Tabela815172256[[#This Row],[B|N]]="Inteira","40","00"),IF(Tabela815172256[[#This Row],[R|W]]="W","5","0"),$B$18,Tabela815172256[[#This Row],[N]]))</f>
        <v>-</v>
      </c>
      <c r="H21" s="30" t="str">
        <f>CONCATENATE($C$18,".",Tabela815172256[[#This Row],[EV]])</f>
        <v>OP40.Ordem</v>
      </c>
      <c r="I21" s="30" t="str">
        <f>IF(Tabela815172256[[#This Row],[R|W]]="D","-",CONCATENATE(IF(Tabela815172256[[#This Row],[R|W]]="W","5","0"),$B$18,Tabela815172256[[#This Row],[N]]))</f>
        <v>-</v>
      </c>
    </row>
    <row r="22" spans="2:10" ht="15.75" x14ac:dyDescent="0.25">
      <c r="B22" s="7" t="s">
        <v>147</v>
      </c>
      <c r="C22" s="10" t="s">
        <v>154</v>
      </c>
      <c r="D22" s="12" t="s">
        <v>132</v>
      </c>
      <c r="E22" s="18">
        <v>1</v>
      </c>
      <c r="F22" s="10" t="str">
        <f>CONCATENATE($C$18,"_",Tabela815172256[[#This Row],[EV]])</f>
        <v>OP40_Salvar</v>
      </c>
      <c r="G22" s="10" t="str">
        <f>IF(Tabela815172256[[#This Row],[R|W]]="D","-",CONCATENATE(IF(Tabela815172256[[#This Row],[B|N]]="Inteira","40","00"),IF(Tabela815172256[[#This Row],[R|W]]="W","5","0"),$B$18,Tabela815172256[[#This Row],[N]]))</f>
        <v>000041</v>
      </c>
      <c r="H22" s="10" t="str">
        <f>CONCATENATE($C$18,".",Tabela815172256[[#This Row],[EV]])</f>
        <v>OP40.Salvar</v>
      </c>
      <c r="I22" s="10" t="str">
        <f>IF(Tabela815172256[[#This Row],[R|W]]="D","-",CONCATENATE(IF(Tabela815172256[[#This Row],[R|W]]="W","5","0"),$B$18,Tabela815172256[[#This Row],[N]]))</f>
        <v>0041</v>
      </c>
    </row>
    <row r="23" spans="2:10" ht="15.75" x14ac:dyDescent="0.25">
      <c r="B23" s="7" t="s">
        <v>302</v>
      </c>
      <c r="C23" s="10" t="s">
        <v>149</v>
      </c>
      <c r="D23" s="12" t="s">
        <v>132</v>
      </c>
      <c r="E23" s="18">
        <v>1</v>
      </c>
      <c r="F23" s="10" t="str">
        <f>CONCATENATE($C$18,"_",Tabela815172256[[#This Row],[EV]])</f>
        <v>OP40_Passo</v>
      </c>
      <c r="G23" s="10" t="str">
        <f>IF(Tabela815172256[[#This Row],[R|W]]="D","-",CONCATENATE(IF(Tabela815172256[[#This Row],[B|N]]="Inteira","40","00"),IF(Tabela815172256[[#This Row],[R|W]]="W","5","0"),$B$18,Tabela815172256[[#This Row],[N]]))</f>
        <v>400041</v>
      </c>
      <c r="H23" s="10" t="str">
        <f>CONCATENATE($C$18,".",Tabela815172256[[#This Row],[EV]])</f>
        <v>OP40.Passo</v>
      </c>
      <c r="I23" s="10" t="str">
        <f>IF(Tabela815172256[[#This Row],[R|W]]="D","-",CONCATENATE(IF(Tabela815172256[[#This Row],[R|W]]="W","5","0"),$B$18,Tabela815172256[[#This Row],[N]]))</f>
        <v>0041</v>
      </c>
    </row>
    <row r="24" spans="2:10" ht="15.75" x14ac:dyDescent="0.25">
      <c r="B24" s="7" t="s">
        <v>226</v>
      </c>
      <c r="C24" s="10" t="s">
        <v>149</v>
      </c>
      <c r="D24" s="12" t="s">
        <v>132</v>
      </c>
      <c r="E24" s="12">
        <v>2</v>
      </c>
      <c r="F24" s="30" t="str">
        <f>CONCATENATE($C$18,"_",Tabela815172256[[#This Row],[EV]])</f>
        <v>OP40_Producao</v>
      </c>
      <c r="G24" s="30" t="str">
        <f>IF(Tabela815172256[[#This Row],[R|W]]="D","-",CONCATENATE(IF(Tabela815172256[[#This Row],[B|N]]="Inteira","40","00"),IF(Tabela815172256[[#This Row],[R|W]]="W","5","0"),$B$18,Tabela815172256[[#This Row],[N]]))</f>
        <v>400042</v>
      </c>
      <c r="H24" s="30" t="str">
        <f>CONCATENATE($C$18,".",Tabela815172256[[#This Row],[EV]])</f>
        <v>OP40.Producao</v>
      </c>
      <c r="I24" s="30" t="str">
        <f>IF(Tabela815172256[[#This Row],[R|W]]="D","-",CONCATENATE(IF(Tabela815172256[[#This Row],[R|W]]="W","5","0"),$B$18,Tabela815172256[[#This Row],[N]]))</f>
        <v>0042</v>
      </c>
    </row>
    <row r="26" spans="2:10" x14ac:dyDescent="0.25">
      <c r="B26" s="42" t="s">
        <v>306</v>
      </c>
      <c r="C26" s="10" t="str">
        <f>CONCATENATE("OP",RIGHT(B26,1),"0")</f>
        <v>OP50</v>
      </c>
    </row>
    <row r="27" spans="2:10" ht="16.5" thickBot="1" x14ac:dyDescent="0.3">
      <c r="B27" s="11" t="s">
        <v>125</v>
      </c>
      <c r="C27" s="14" t="s">
        <v>2</v>
      </c>
      <c r="D27" s="14" t="s">
        <v>3</v>
      </c>
      <c r="E27" s="20" t="s">
        <v>126</v>
      </c>
      <c r="F27" s="11" t="s">
        <v>140</v>
      </c>
      <c r="G27" s="14" t="s">
        <v>141</v>
      </c>
      <c r="H27" s="14" t="s">
        <v>142</v>
      </c>
      <c r="I27" s="14" t="s">
        <v>143</v>
      </c>
      <c r="J27" s="14" t="s">
        <v>144</v>
      </c>
    </row>
    <row r="28" spans="2:10" ht="15.75" x14ac:dyDescent="0.25">
      <c r="B28" s="7" t="s">
        <v>133</v>
      </c>
      <c r="C28" s="10" t="s">
        <v>149</v>
      </c>
      <c r="D28" s="12" t="s">
        <v>150</v>
      </c>
      <c r="E28" s="18" t="s">
        <v>151</v>
      </c>
      <c r="F28" s="30" t="str">
        <f>CONCATENATE($C$26,"_",Tabela81517225610[[#This Row],[EV]])</f>
        <v>OP50_Modelo</v>
      </c>
      <c r="G28" s="30" t="str">
        <f>IF(Tabela81517225610[[#This Row],[R|W]]="D","-",CONCATENATE(IF(Tabela81517225610[[#This Row],[B|N]]="Inteira","40","00"),IF(Tabela81517225610[[#This Row],[R|W]]="W","5","0"),$B$26,Tabela81517225610[[#This Row],[N]]))</f>
        <v>-</v>
      </c>
      <c r="H28" s="30" t="str">
        <f>CONCATENATE($C$18,".",Tabela81517225610[[#This Row],[EV]])</f>
        <v>OP40.Modelo</v>
      </c>
      <c r="I28" s="30" t="str">
        <f>IF(Tabela81517225610[[#This Row],[R|W]]="D","-",CONCATENATE(IF(Tabela81517225610[[#This Row],[R|W]]="W","5","0"),$B$26,Tabela81517225610[[#This Row],[N]]))</f>
        <v>-</v>
      </c>
    </row>
    <row r="29" spans="2:10" ht="15.75" x14ac:dyDescent="0.25">
      <c r="B29" s="7" t="s">
        <v>236</v>
      </c>
      <c r="C29" s="10" t="s">
        <v>149</v>
      </c>
      <c r="D29" s="12" t="s">
        <v>150</v>
      </c>
      <c r="E29" s="18" t="s">
        <v>151</v>
      </c>
      <c r="F29" s="30" t="str">
        <f>CONCATENATE($C$26,"_",Tabela81517225610[[#This Row],[EV]])</f>
        <v>OP50_Ordem</v>
      </c>
      <c r="G29" s="30" t="str">
        <f>IF(Tabela81517225610[[#This Row],[R|W]]="D","-",CONCATENATE(IF(Tabela81517225610[[#This Row],[B|N]]="Inteira","40","00"),IF(Tabela81517225610[[#This Row],[R|W]]="W","5","0"),$B$26,Tabela81517225610[[#This Row],[N]]))</f>
        <v>-</v>
      </c>
      <c r="H29" s="30" t="str">
        <f>CONCATENATE($C$18,".",Tabela81517225610[[#This Row],[EV]])</f>
        <v>OP40.Ordem</v>
      </c>
      <c r="I29" s="30" t="str">
        <f>IF(Tabela81517225610[[#This Row],[R|W]]="D","-",CONCATENATE(IF(Tabela81517225610[[#This Row],[R|W]]="W","5","0"),$B$26,Tabela81517225610[[#This Row],[N]]))</f>
        <v>-</v>
      </c>
    </row>
    <row r="30" spans="2:10" ht="15.75" x14ac:dyDescent="0.25">
      <c r="B30" s="7" t="s">
        <v>147</v>
      </c>
      <c r="C30" s="10" t="s">
        <v>154</v>
      </c>
      <c r="D30" s="12" t="s">
        <v>132</v>
      </c>
      <c r="E30" s="18">
        <v>1</v>
      </c>
      <c r="F30" s="10" t="str">
        <f>CONCATENATE($C$26,"_",Tabela81517225610[[#This Row],[EV]])</f>
        <v>OP50_Salvar</v>
      </c>
      <c r="G30" s="10" t="str">
        <f>IF(Tabela81517225610[[#This Row],[R|W]]="D","-",CONCATENATE(IF(Tabela81517225610[[#This Row],[B|N]]="Inteira","40","00"),IF(Tabela81517225610[[#This Row],[R|W]]="W","5","0"),$B$26,Tabela81517225610[[#This Row],[N]]))</f>
        <v>000051</v>
      </c>
      <c r="H30" s="10" t="str">
        <f>CONCATENATE($C$18,".",Tabela81517225610[[#This Row],[EV]])</f>
        <v>OP40.Salvar</v>
      </c>
      <c r="I30" s="10" t="str">
        <f>IF(Tabela81517225610[[#This Row],[R|W]]="D","-",CONCATENATE(IF(Tabela81517225610[[#This Row],[R|W]]="W","5","0"),$B$26,Tabela81517225610[[#This Row],[N]]))</f>
        <v>0051</v>
      </c>
    </row>
    <row r="31" spans="2:10" ht="15.75" x14ac:dyDescent="0.25">
      <c r="B31" s="7" t="s">
        <v>302</v>
      </c>
      <c r="C31" s="10" t="s">
        <v>149</v>
      </c>
      <c r="D31" s="12" t="s">
        <v>132</v>
      </c>
      <c r="E31" s="18">
        <v>1</v>
      </c>
      <c r="F31" s="10" t="str">
        <f>CONCATENATE($C$26,"_",Tabela81517225610[[#This Row],[EV]])</f>
        <v>OP50_Passo</v>
      </c>
      <c r="G31" s="10" t="str">
        <f>IF(Tabela81517225610[[#This Row],[R|W]]="D","-",CONCATENATE(IF(Tabela81517225610[[#This Row],[B|N]]="Inteira","40","00"),IF(Tabela81517225610[[#This Row],[R|W]]="W","5","0"),$B$26,Tabela81517225610[[#This Row],[N]]))</f>
        <v>400051</v>
      </c>
      <c r="H31" s="10" t="str">
        <f>CONCATENATE($C$18,".",Tabela81517225610[[#This Row],[EV]])</f>
        <v>OP40.Passo</v>
      </c>
      <c r="I31" s="10" t="str">
        <f>IF(Tabela81517225610[[#This Row],[R|W]]="D","-",CONCATENATE(IF(Tabela81517225610[[#This Row],[R|W]]="W","5","0"),$B$26,Tabela81517225610[[#This Row],[N]]))</f>
        <v>0051</v>
      </c>
    </row>
    <row r="32" spans="2:10" ht="15.75" x14ac:dyDescent="0.25">
      <c r="B32" s="7" t="s">
        <v>226</v>
      </c>
      <c r="C32" s="10" t="s">
        <v>149</v>
      </c>
      <c r="D32" s="12" t="s">
        <v>132</v>
      </c>
      <c r="E32" s="12">
        <v>2</v>
      </c>
      <c r="F32" s="30" t="str">
        <f>CONCATENATE($C$26,"_",Tabela81517225610[[#This Row],[EV]])</f>
        <v>OP50_Producao</v>
      </c>
      <c r="G32" s="30" t="str">
        <f>IF(Tabela81517225610[[#This Row],[R|W]]="D","-",CONCATENATE(IF(Tabela81517225610[[#This Row],[B|N]]="Inteira","40","00"),IF(Tabela81517225610[[#This Row],[R|W]]="W","5","0"),$B$26,Tabela81517225610[[#This Row],[N]]))</f>
        <v>400052</v>
      </c>
      <c r="H32" s="30" t="str">
        <f>CONCATENATE($C$18,".",Tabela81517225610[[#This Row],[EV]])</f>
        <v>OP40.Producao</v>
      </c>
      <c r="I32" s="30" t="str">
        <f>IF(Tabela81517225610[[#This Row],[R|W]]="D","-",CONCATENATE(IF(Tabela81517225610[[#This Row],[R|W]]="W","5","0"),$B$26,Tabela81517225610[[#This Row],[N]]))</f>
        <v>0052</v>
      </c>
    </row>
    <row r="34" spans="2:10" x14ac:dyDescent="0.25">
      <c r="B34" s="42" t="s">
        <v>307</v>
      </c>
      <c r="C34" s="10" t="str">
        <f>CONCATENATE("OP",RIGHT(B34,1),"0")</f>
        <v>OP60</v>
      </c>
    </row>
    <row r="35" spans="2:10" ht="16.5" thickBot="1" x14ac:dyDescent="0.3">
      <c r="B35" s="11" t="s">
        <v>125</v>
      </c>
      <c r="C35" s="14" t="s">
        <v>2</v>
      </c>
      <c r="D35" s="14" t="s">
        <v>3</v>
      </c>
      <c r="E35" s="20" t="s">
        <v>126</v>
      </c>
      <c r="F35" s="11" t="s">
        <v>140</v>
      </c>
      <c r="G35" s="14" t="s">
        <v>141</v>
      </c>
      <c r="H35" s="14" t="s">
        <v>142</v>
      </c>
      <c r="I35" s="14" t="s">
        <v>143</v>
      </c>
      <c r="J35" s="14" t="s">
        <v>144</v>
      </c>
    </row>
    <row r="36" spans="2:10" ht="15.75" x14ac:dyDescent="0.25">
      <c r="B36" s="7" t="s">
        <v>133</v>
      </c>
      <c r="C36" s="10" t="s">
        <v>149</v>
      </c>
      <c r="D36" s="12" t="s">
        <v>150</v>
      </c>
      <c r="E36" s="18" t="s">
        <v>151</v>
      </c>
      <c r="F36" s="30" t="str">
        <f>CONCATENATE($C$34,"_",Tabela8151722561012[[#This Row],[EV]])</f>
        <v>OP60_Modelo</v>
      </c>
      <c r="G36" s="30" t="str">
        <f>IF(Tabela8151722561012[[#This Row],[R|W]]="D","-",CONCATENATE(IF(Tabela8151722561012[[#This Row],[B|N]]="Inteira","40","00"),IF(Tabela8151722561012[[#This Row],[R|W]]="W","5","0"),$B$34,Tabela8151722561012[[#This Row],[N]]))</f>
        <v>-</v>
      </c>
      <c r="H36" s="30" t="str">
        <f>CONCATENATE($C$34,".",Tabela8151722561012[[#This Row],[EV]])</f>
        <v>OP60.Modelo</v>
      </c>
      <c r="I36" s="30" t="str">
        <f>IF(Tabela8151722561012[[#This Row],[R|W]]="D","-",CONCATENATE(IF(Tabela8151722561012[[#This Row],[R|W]]="W","5","0"),$B$34,Tabela8151722561012[[#This Row],[N]]))</f>
        <v>-</v>
      </c>
    </row>
    <row r="37" spans="2:10" ht="15.75" x14ac:dyDescent="0.25">
      <c r="B37" s="7" t="s">
        <v>236</v>
      </c>
      <c r="C37" s="10" t="s">
        <v>149</v>
      </c>
      <c r="D37" s="12" t="s">
        <v>150</v>
      </c>
      <c r="E37" s="18" t="s">
        <v>151</v>
      </c>
      <c r="F37" s="30" t="str">
        <f>CONCATENATE($C$34,"_",Tabela8151722561012[[#This Row],[EV]])</f>
        <v>OP60_Ordem</v>
      </c>
      <c r="G37" s="30" t="str">
        <f>IF(Tabela8151722561012[[#This Row],[R|W]]="D","-",CONCATENATE(IF(Tabela8151722561012[[#This Row],[B|N]]="Inteira","40","00"),IF(Tabela8151722561012[[#This Row],[R|W]]="W","5","0"),$B$34,Tabela8151722561012[[#This Row],[N]]))</f>
        <v>-</v>
      </c>
      <c r="H37" s="30" t="str">
        <f>CONCATENATE($C$34,".",Tabela8151722561012[[#This Row],[EV]])</f>
        <v>OP60.Ordem</v>
      </c>
      <c r="I37" s="30" t="str">
        <f>IF(Tabela8151722561012[[#This Row],[R|W]]="D","-",CONCATENATE(IF(Tabela8151722561012[[#This Row],[R|W]]="W","5","0"),$B$34,Tabela8151722561012[[#This Row],[N]]))</f>
        <v>-</v>
      </c>
    </row>
    <row r="38" spans="2:10" ht="15.75" x14ac:dyDescent="0.25">
      <c r="B38" s="7" t="s">
        <v>147</v>
      </c>
      <c r="C38" s="10" t="s">
        <v>154</v>
      </c>
      <c r="D38" s="12" t="s">
        <v>132</v>
      </c>
      <c r="E38" s="18">
        <v>1</v>
      </c>
      <c r="F38" s="10" t="str">
        <f>CONCATENATE($C$34,"_",Tabela8151722561012[[#This Row],[EV]])</f>
        <v>OP60_Salvar</v>
      </c>
      <c r="G38" s="10" t="str">
        <f>IF(Tabela8151722561012[[#This Row],[R|W]]="D","-",CONCATENATE(IF(Tabela8151722561012[[#This Row],[B|N]]="Inteira","40","00"),IF(Tabela8151722561012[[#This Row],[R|W]]="W","5","0"),$B$34,Tabela8151722561012[[#This Row],[N]]))</f>
        <v>000061</v>
      </c>
      <c r="H38" s="10" t="str">
        <f>CONCATENATE($C$34,".",Tabela8151722561012[[#This Row],[EV]])</f>
        <v>OP60.Salvar</v>
      </c>
      <c r="I38" s="10" t="str">
        <f>IF(Tabela8151722561012[[#This Row],[R|W]]="D","-",CONCATENATE(IF(Tabela8151722561012[[#This Row],[R|W]]="W","5","0"),$B$34,Tabela8151722561012[[#This Row],[N]]))</f>
        <v>0061</v>
      </c>
    </row>
    <row r="39" spans="2:10" ht="15.75" x14ac:dyDescent="0.25">
      <c r="B39" s="7" t="s">
        <v>302</v>
      </c>
      <c r="C39" s="10" t="s">
        <v>149</v>
      </c>
      <c r="D39" s="12" t="s">
        <v>132</v>
      </c>
      <c r="E39" s="18">
        <v>1</v>
      </c>
      <c r="F39" s="10" t="str">
        <f>CONCATENATE($C$34,"_",Tabela8151722561012[[#This Row],[EV]])</f>
        <v>OP60_Passo</v>
      </c>
      <c r="G39" s="10" t="str">
        <f>IF(Tabela8151722561012[[#This Row],[R|W]]="D","-",CONCATENATE(IF(Tabela8151722561012[[#This Row],[B|N]]="Inteira","40","00"),IF(Tabela8151722561012[[#This Row],[R|W]]="W","5","0"),$B$34,Tabela8151722561012[[#This Row],[N]]))</f>
        <v>400061</v>
      </c>
      <c r="H39" s="10" t="str">
        <f>CONCATENATE($C$34,".",Tabela8151722561012[[#This Row],[EV]])</f>
        <v>OP60.Passo</v>
      </c>
      <c r="I39" s="10" t="str">
        <f>IF(Tabela8151722561012[[#This Row],[R|W]]="D","-",CONCATENATE(IF(Tabela8151722561012[[#This Row],[R|W]]="W","5","0"),$B$34,Tabela8151722561012[[#This Row],[N]]))</f>
        <v>0061</v>
      </c>
    </row>
    <row r="40" spans="2:10" ht="15.75" x14ac:dyDescent="0.25">
      <c r="B40" s="7" t="s">
        <v>226</v>
      </c>
      <c r="C40" s="10" t="s">
        <v>149</v>
      </c>
      <c r="D40" s="12" t="s">
        <v>132</v>
      </c>
      <c r="E40" s="12">
        <v>2</v>
      </c>
      <c r="F40" s="30" t="str">
        <f>CONCATENATE($C$34,"_",Tabela8151722561012[[#This Row],[EV]])</f>
        <v>OP60_Producao</v>
      </c>
      <c r="G40" s="30" t="str">
        <f>IF(Tabela8151722561012[[#This Row],[R|W]]="D","-",CONCATENATE(IF(Tabela8151722561012[[#This Row],[B|N]]="Inteira","40","00"),IF(Tabela8151722561012[[#This Row],[R|W]]="W","5","0"),$B$34,Tabela8151722561012[[#This Row],[N]]))</f>
        <v>400062</v>
      </c>
      <c r="H40" s="30" t="str">
        <f>CONCATENATE($C$34,".",Tabela8151722561012[[#This Row],[EV]])</f>
        <v>OP60.Producao</v>
      </c>
      <c r="I40" s="30" t="str">
        <f>IF(Tabela8151722561012[[#This Row],[R|W]]="D","-",CONCATENATE(IF(Tabela8151722561012[[#This Row],[R|W]]="W","5","0"),$B$34,Tabela8151722561012[[#This Row],[N]]))</f>
        <v>0062</v>
      </c>
    </row>
  </sheetData>
  <phoneticPr fontId="1" type="noConversion"/>
  <conditionalFormatting sqref="H9:H10 H17:H18 H25:H26 G27:G32 G19:G24 G11:G16 G3:G8 H2 H41:H1048576 H33:H34 G35:G40">
    <cfRule type="duplicateValues" dxfId="191" priority="2"/>
  </conditionalFormatting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64E9-759B-40A9-86A3-4267488A9EB2}">
  <dimension ref="A1:M10"/>
  <sheetViews>
    <sheetView zoomScale="175" zoomScaleNormal="175" workbookViewId="0">
      <selection activeCell="G14" sqref="G14"/>
    </sheetView>
  </sheetViews>
  <sheetFormatPr defaultColWidth="9.140625" defaultRowHeight="15" x14ac:dyDescent="0.25"/>
  <cols>
    <col min="1" max="1" width="3" style="16" bestFit="1" customWidth="1"/>
    <col min="2" max="2" width="5.85546875" style="16" bestFit="1" customWidth="1"/>
    <col min="3" max="3" width="8.5703125" style="16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14.85546875" style="10" bestFit="1" customWidth="1"/>
    <col min="8" max="8" width="10.5703125" style="10" bestFit="1" customWidth="1"/>
    <col min="9" max="9" width="12.5703125" style="10" bestFit="1" customWidth="1"/>
    <col min="10" max="10" width="11.140625" style="10" bestFit="1" customWidth="1"/>
    <col min="11" max="11" width="27.7109375" style="10" bestFit="1" customWidth="1"/>
    <col min="12" max="12" width="11.140625" style="16" bestFit="1" customWidth="1"/>
    <col min="13" max="13" width="27.140625" style="16" bestFit="1" customWidth="1"/>
    <col min="14" max="16384" width="9.140625" style="16"/>
  </cols>
  <sheetData>
    <row r="1" spans="1:13" x14ac:dyDescent="0.25">
      <c r="A1" s="15"/>
      <c r="B1" s="43">
        <v>12</v>
      </c>
      <c r="C1" s="16" t="str">
        <f>CONCATENATE("TD",RIGHT(B1,1))</f>
        <v>TD2</v>
      </c>
      <c r="L1" s="15"/>
    </row>
    <row r="2" spans="1:13" ht="16.5" thickBot="1" x14ac:dyDescent="0.3">
      <c r="B2" s="14" t="s">
        <v>139</v>
      </c>
      <c r="C2" s="14" t="s">
        <v>125</v>
      </c>
      <c r="D2" s="14" t="s">
        <v>2</v>
      </c>
      <c r="E2" s="14" t="s">
        <v>3</v>
      </c>
      <c r="F2" s="20" t="s">
        <v>126</v>
      </c>
      <c r="G2" s="11" t="s">
        <v>140</v>
      </c>
      <c r="H2" s="14" t="s">
        <v>141</v>
      </c>
      <c r="I2" s="14" t="s">
        <v>142</v>
      </c>
      <c r="J2" s="14" t="s">
        <v>143</v>
      </c>
      <c r="K2" s="14" t="s">
        <v>144</v>
      </c>
      <c r="L2" s="14" t="s">
        <v>297</v>
      </c>
    </row>
    <row r="3" spans="1:13" x14ac:dyDescent="0.25">
      <c r="B3" s="12" t="s">
        <v>148</v>
      </c>
      <c r="C3" s="12" t="s">
        <v>133</v>
      </c>
      <c r="D3" s="10" t="s">
        <v>149</v>
      </c>
      <c r="E3" s="12" t="s">
        <v>150</v>
      </c>
      <c r="F3" s="18" t="s">
        <v>151</v>
      </c>
      <c r="G3" s="10" t="str">
        <f>CONCATENATE("IHM_",$C$1,"_",Tabela8[[#This Row],[TG]])</f>
        <v>IHM_TD2_MOD</v>
      </c>
      <c r="H3" s="10" t="str">
        <f>IF(Tabela8[[#This Row],[R|W]]="D","-",CONCATENATE(IF(Tabela8[[#This Row],[B|N]]="Inteira","40","00"),IF(Tabela8[[#This Row],[R|W]]="W","5","0"),$B$1,Tabela8[[#This Row],[N]]))</f>
        <v>-</v>
      </c>
      <c r="I3" s="10" t="str">
        <f>CONCATENATE($C$1,".",Tabela8[[#This Row],[EV]])</f>
        <v>TD2.Modelo</v>
      </c>
      <c r="J3" s="10" t="str">
        <f>IF(Tabela8[[#This Row],[R|W]]="D","-",CONCATENATE(IF(Tabela8[[#This Row],[R|W]]="W","5","0"),$B$1,Tabela8[[#This Row],[N]]))</f>
        <v>-</v>
      </c>
      <c r="K3" s="10" t="s">
        <v>133</v>
      </c>
      <c r="L3" s="24" t="s">
        <v>298</v>
      </c>
    </row>
    <row r="4" spans="1:13" x14ac:dyDescent="0.25">
      <c r="B4" s="12" t="s">
        <v>152</v>
      </c>
      <c r="C4" s="12" t="s">
        <v>153</v>
      </c>
      <c r="D4" s="10" t="s">
        <v>154</v>
      </c>
      <c r="E4" s="12" t="s">
        <v>129</v>
      </c>
      <c r="F4" s="12">
        <v>1</v>
      </c>
      <c r="G4" s="10" t="str">
        <f>CONCATENATE("IHM_",$C$1,"_",Tabela8[[#This Row],[TG]])</f>
        <v>IHM_TD2_CLB</v>
      </c>
      <c r="H4" s="10" t="str">
        <f>IF(Tabela8[[#This Row],[R|W]]="D","-",CONCATENATE(IF(Tabela8[[#This Row],[B|N]]="Inteira","40","00"),IF(Tabela8[[#This Row],[R|W]]="W","5","0"),$B$1,Tabela8[[#This Row],[N]]))</f>
        <v>005121</v>
      </c>
      <c r="I4" s="10" t="str">
        <f>CONCATENATE($C$1,".",Tabela8[[#This Row],[EV]])</f>
        <v>TD2.Calibrar</v>
      </c>
      <c r="J4" s="10" t="str">
        <f>IF(Tabela8[[#This Row],[R|W]]="D","-",CONCATENATE(IF(Tabela8[[#This Row],[R|W]]="W","5","0"),$B$1,Tabela8[[#This Row],[N]]))</f>
        <v>5121</v>
      </c>
      <c r="K4" s="10" t="s">
        <v>155</v>
      </c>
      <c r="L4" s="24"/>
    </row>
    <row r="5" spans="1:13" x14ac:dyDescent="0.25">
      <c r="B5" s="12" t="s">
        <v>156</v>
      </c>
      <c r="C5" s="12" t="s">
        <v>157</v>
      </c>
      <c r="D5" s="10" t="s">
        <v>154</v>
      </c>
      <c r="E5" s="12" t="s">
        <v>129</v>
      </c>
      <c r="F5" s="18">
        <v>2</v>
      </c>
      <c r="G5" s="10" t="str">
        <f>CONCATENATE("IHM_",$C$1,"_",Tabela8[[#This Row],[TG]])</f>
        <v>IHM_TD2_TT</v>
      </c>
      <c r="H5" s="10" t="str">
        <f>IF(Tabela8[[#This Row],[R|W]]="D","-",CONCATENATE(IF(Tabela8[[#This Row],[B|N]]="Inteira","40","00"),IF(Tabela8[[#This Row],[R|W]]="W","5","0"),$B$1,Tabela8[[#This Row],[N]]))</f>
        <v>005122</v>
      </c>
      <c r="I5" s="10" t="str">
        <f>CONCATENATE($C$1,".",Tabela8[[#This Row],[EV]])</f>
        <v>TD2.Testar</v>
      </c>
      <c r="J5" s="10" t="str">
        <f>IF(Tabela8[[#This Row],[R|W]]="D","-",CONCATENATE(IF(Tabela8[[#This Row],[R|W]]="W","5","0"),$B$1,Tabela8[[#This Row],[N]]))</f>
        <v>5122</v>
      </c>
      <c r="K5" s="10" t="s">
        <v>158</v>
      </c>
      <c r="L5" s="24"/>
    </row>
    <row r="6" spans="1:13" x14ac:dyDescent="0.25">
      <c r="B6" s="12" t="s">
        <v>159</v>
      </c>
      <c r="C6" s="12" t="s">
        <v>160</v>
      </c>
      <c r="D6" s="10" t="s">
        <v>149</v>
      </c>
      <c r="E6" s="12" t="s">
        <v>132</v>
      </c>
      <c r="F6" s="18">
        <v>1</v>
      </c>
      <c r="G6" s="10" t="str">
        <f>CONCATENATE("IHM_",$C$1,"_",Tabela8[[#This Row],[TG]])</f>
        <v>IHM_TD2_SN</v>
      </c>
      <c r="H6" s="10" t="str">
        <f>IF(Tabela8[[#This Row],[R|W]]="D","-",CONCATENATE(IF(Tabela8[[#This Row],[B|N]]="Inteira","40","00"),IF(Tabela8[[#This Row],[R|W]]="W","5","0"),$B$1,Tabela8[[#This Row],[N]]))</f>
        <v>400121</v>
      </c>
      <c r="I6" s="10" t="str">
        <f>CONCATENATE($C$1,".",Tabela8[[#This Row],[EV]])</f>
        <v>TD2.Sensor</v>
      </c>
      <c r="J6" s="10" t="str">
        <f>IF(Tabela8[[#This Row],[R|W]]="D","-",CONCATENATE(IF(Tabela8[[#This Row],[R|W]]="W","5","0"),$B$1,Tabela8[[#This Row],[N]]))</f>
        <v>0121</v>
      </c>
      <c r="K6" s="10" t="s">
        <v>161</v>
      </c>
      <c r="L6" s="24" t="s">
        <v>298</v>
      </c>
      <c r="M6" s="16" t="s">
        <v>162</v>
      </c>
    </row>
    <row r="7" spans="1:13" x14ac:dyDescent="0.25">
      <c r="B7" s="12" t="s">
        <v>163</v>
      </c>
      <c r="C7" s="12" t="s">
        <v>164</v>
      </c>
      <c r="D7" s="10" t="s">
        <v>149</v>
      </c>
      <c r="E7" s="12" t="s">
        <v>132</v>
      </c>
      <c r="F7" s="18">
        <v>2</v>
      </c>
      <c r="G7" s="10" t="str">
        <f>CONCATENATE("IHM_",$C$1,"_",Tabela8[[#This Row],[TG]])</f>
        <v>IHM_TD2_VR</v>
      </c>
      <c r="H7" s="10" t="str">
        <f>IF(Tabela8[[#This Row],[R|W]]="D","-",CONCATENATE(IF(Tabela8[[#This Row],[B|N]]="Inteira","40","00"),IF(Tabela8[[#This Row],[R|W]]="W","5","0"),$B$1,Tabela8[[#This Row],[N]]))</f>
        <v>400122</v>
      </c>
      <c r="I7" s="10" t="str">
        <f>CONCATENATE($C$1,".",Tabela8[[#This Row],[EV]])</f>
        <v>TD2.Variacao</v>
      </c>
      <c r="J7" s="10" t="str">
        <f>IF(Tabela8[[#This Row],[R|W]]="D","-",CONCATENATE(IF(Tabela8[[#This Row],[R|W]]="W","5","0"),$B$1,Tabela8[[#This Row],[N]]))</f>
        <v>0122</v>
      </c>
      <c r="K7" s="10" t="s">
        <v>165</v>
      </c>
      <c r="L7" s="24" t="s">
        <v>237</v>
      </c>
    </row>
    <row r="8" spans="1:13" x14ac:dyDescent="0.25">
      <c r="B8" s="12" t="s">
        <v>166</v>
      </c>
      <c r="C8" s="12" t="s">
        <v>167</v>
      </c>
      <c r="D8" s="10" t="s">
        <v>149</v>
      </c>
      <c r="E8" s="12" t="s">
        <v>129</v>
      </c>
      <c r="F8" s="18">
        <v>1</v>
      </c>
      <c r="G8" s="10" t="str">
        <f>CONCATENATE("IHM_",$C$1,"_",Tabela8[[#This Row],[TG]])</f>
        <v>IHM_TD2_MX</v>
      </c>
      <c r="H8" s="10" t="str">
        <f>IF(Tabela8[[#This Row],[R|W]]="D","-",CONCATENATE(IF(Tabela8[[#This Row],[B|N]]="Inteira","40","00"),IF(Tabela8[[#This Row],[R|W]]="W","5","0"),$B$1,Tabela8[[#This Row],[N]]))</f>
        <v>405121</v>
      </c>
      <c r="I8" s="10" t="str">
        <f>CONCATENATE($C$1,".",Tabela8[[#This Row],[EV]])</f>
        <v>TD2.Maximo</v>
      </c>
      <c r="J8" s="10" t="str">
        <f>IF(Tabela8[[#This Row],[R|W]]="D","-",CONCATENATE(IF(Tabela8[[#This Row],[R|W]]="W","5","0"),$B$1,Tabela8[[#This Row],[N]]))</f>
        <v>5121</v>
      </c>
      <c r="K8" s="10" t="s">
        <v>168</v>
      </c>
      <c r="L8" s="24" t="s">
        <v>298</v>
      </c>
    </row>
    <row r="9" spans="1:13" x14ac:dyDescent="0.25">
      <c r="B9" s="12" t="s">
        <v>145</v>
      </c>
      <c r="C9" s="12" t="s">
        <v>169</v>
      </c>
      <c r="D9" s="10" t="s">
        <v>149</v>
      </c>
      <c r="E9" s="12" t="s">
        <v>129</v>
      </c>
      <c r="F9" s="18">
        <v>2</v>
      </c>
      <c r="G9" s="10" t="str">
        <f>CONCATENATE("IHM_",$C$1,"_",Tabela8[[#This Row],[TG]])</f>
        <v>IHM_TD2_MN</v>
      </c>
      <c r="H9" s="10" t="str">
        <f>IF(Tabela8[[#This Row],[R|W]]="D","-",CONCATENATE(IF(Tabela8[[#This Row],[B|N]]="Inteira","40","00"),IF(Tabela8[[#This Row],[R|W]]="W","5","0"),$B$1,Tabela8[[#This Row],[N]]))</f>
        <v>405122</v>
      </c>
      <c r="I9" s="10" t="str">
        <f>CONCATENATE($C$1,".",Tabela8[[#This Row],[EV]])</f>
        <v>TD2.Minimo</v>
      </c>
      <c r="J9" s="10" t="str">
        <f>IF(Tabela8[[#This Row],[R|W]]="D","-",CONCATENATE(IF(Tabela8[[#This Row],[R|W]]="W","5","0"),$B$1,Tabela8[[#This Row],[N]]))</f>
        <v>5122</v>
      </c>
      <c r="K9" s="10" t="s">
        <v>170</v>
      </c>
      <c r="L9" s="24" t="s">
        <v>298</v>
      </c>
    </row>
    <row r="10" spans="1:13" x14ac:dyDescent="0.25">
      <c r="B10" s="12" t="s">
        <v>171</v>
      </c>
      <c r="C10" s="12" t="s">
        <v>172</v>
      </c>
      <c r="D10" s="10" t="s">
        <v>149</v>
      </c>
      <c r="E10" s="12" t="s">
        <v>129</v>
      </c>
      <c r="F10" s="18">
        <v>3</v>
      </c>
      <c r="G10" s="10" t="str">
        <f>CONCATENATE("IHM_",$C$1,"_",Tabela8[[#This Row],[TG]])</f>
        <v>IHM_TD2_TM</v>
      </c>
      <c r="H10" s="10" t="str">
        <f>IF(Tabela8[[#This Row],[R|W]]="D","-",CONCATENATE(IF(Tabela8[[#This Row],[B|N]]="Inteira","40","00"),IF(Tabela8[[#This Row],[R|W]]="W","5","0"),$B$1,Tabela8[[#This Row],[N]]))</f>
        <v>405123</v>
      </c>
      <c r="I10" s="10" t="str">
        <f>CONCATENATE($C$1,".",Tabela8[[#This Row],[EV]])</f>
        <v>TD2.Tempo</v>
      </c>
      <c r="J10" s="10" t="str">
        <f>IF(Tabela8[[#This Row],[R|W]]="D","-",CONCATENATE(IF(Tabela8[[#This Row],[R|W]]="W","5","0"),$B$1,Tabela8[[#This Row],[N]]))</f>
        <v>5123</v>
      </c>
      <c r="K10" s="10" t="s">
        <v>173</v>
      </c>
      <c r="L10" s="24"/>
    </row>
  </sheetData>
  <phoneticPr fontId="1" type="noConversion"/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087C0-E4BE-4714-8755-742C9A193015}">
  <dimension ref="A1:N23"/>
  <sheetViews>
    <sheetView zoomScale="190" zoomScaleNormal="190" workbookViewId="0">
      <selection activeCell="J14" sqref="J14"/>
    </sheetView>
  </sheetViews>
  <sheetFormatPr defaultRowHeight="15" x14ac:dyDescent="0.25"/>
  <cols>
    <col min="1" max="2" width="3" bestFit="1" customWidth="1"/>
    <col min="3" max="3" width="4.42578125" bestFit="1" customWidth="1"/>
    <col min="4" max="4" width="3" bestFit="1" customWidth="1"/>
    <col min="5" max="5" width="5.85546875" bestFit="1" customWidth="1"/>
    <col min="6" max="6" width="20.85546875" bestFit="1" customWidth="1"/>
    <col min="7" max="7" width="9.28515625" bestFit="1" customWidth="1"/>
    <col min="8" max="8" width="7.85546875" bestFit="1" customWidth="1"/>
    <col min="9" max="9" width="4.85546875" bestFit="1" customWidth="1"/>
    <col min="10" max="10" width="14.42578125" bestFit="1" customWidth="1"/>
    <col min="11" max="11" width="10.5703125" bestFit="1" customWidth="1"/>
    <col min="12" max="12" width="24.85546875" bestFit="1" customWidth="1"/>
    <col min="13" max="14" width="11.140625" bestFit="1" customWidth="1"/>
  </cols>
  <sheetData>
    <row r="1" spans="1:14" x14ac:dyDescent="0.25">
      <c r="A1" s="1"/>
      <c r="D1" s="1"/>
      <c r="E1" s="41">
        <v>31</v>
      </c>
      <c r="F1" t="str">
        <f>CONCATENATE(VLOOKUP(CONCATENATE(LEFT(E1,1),0),SCL!B2:C10,2),RIGHT(E1))</f>
        <v>CC1</v>
      </c>
      <c r="J1" s="8"/>
      <c r="L1" s="9"/>
    </row>
    <row r="2" spans="1:14" ht="16.5" thickBot="1" x14ac:dyDescent="0.3">
      <c r="B2" s="1" t="s">
        <v>283</v>
      </c>
      <c r="C2" t="s">
        <v>282</v>
      </c>
      <c r="E2" s="11" t="s">
        <v>139</v>
      </c>
      <c r="F2" s="11" t="s">
        <v>125</v>
      </c>
      <c r="G2" s="11" t="s">
        <v>2</v>
      </c>
      <c r="H2" s="11" t="s">
        <v>3</v>
      </c>
      <c r="I2" s="13" t="s">
        <v>126</v>
      </c>
      <c r="J2" s="11" t="s">
        <v>140</v>
      </c>
      <c r="K2" s="11" t="s">
        <v>141</v>
      </c>
      <c r="L2" s="11" t="s">
        <v>142</v>
      </c>
      <c r="M2" s="11" t="s">
        <v>143</v>
      </c>
      <c r="N2" s="11" t="s">
        <v>297</v>
      </c>
    </row>
    <row r="3" spans="1:14" x14ac:dyDescent="0.25">
      <c r="B3" s="1" t="s">
        <v>284</v>
      </c>
      <c r="C3" t="s">
        <v>292</v>
      </c>
      <c r="E3" s="2" t="s">
        <v>146</v>
      </c>
      <c r="F3" s="8" t="s">
        <v>147</v>
      </c>
      <c r="G3" s="2" t="s">
        <v>154</v>
      </c>
      <c r="H3" s="2" t="s">
        <v>150</v>
      </c>
      <c r="I3" s="5" t="s">
        <v>151</v>
      </c>
      <c r="J3" s="38" t="str">
        <f>CONCATENATE("IHM_",$F$1,"_",Tabela72[[#This Row],[TG]])</f>
        <v>IHM_CC1_SV</v>
      </c>
      <c r="K3" s="39" t="str">
        <f>IF(Tabela72[[#This Row],[R|W]]="D","-",CONCATENATE(IF(Tabela72[[#This Row],[B|N]]="Inteira","40","00"),IF(Tabela72[[#This Row],[R|W]]="W","5","0"),$E$1,Tabela72[[#This Row],[N]]))</f>
        <v>-</v>
      </c>
      <c r="L3" s="38" t="str">
        <f t="shared" ref="L3:L11" si="0">CONCATENATE($F$1,".",F3)</f>
        <v>CC1.Salvar</v>
      </c>
      <c r="M3" s="40" t="str">
        <f>IF(Tabela72[[#This Row],[R|W]]="D","-",CONCATENATE(IF(Tabela72[[#This Row],[R|W]]="W","5","0"),$E$1,Tabela72[[#This Row],[N]]))</f>
        <v>-</v>
      </c>
      <c r="N3" s="2" t="s">
        <v>299</v>
      </c>
    </row>
    <row r="4" spans="1:14" x14ac:dyDescent="0.25">
      <c r="B4" s="1" t="s">
        <v>285</v>
      </c>
      <c r="C4" t="s">
        <v>293</v>
      </c>
      <c r="E4" s="2" t="s">
        <v>148</v>
      </c>
      <c r="F4" s="8" t="s">
        <v>133</v>
      </c>
      <c r="G4" s="2" t="s">
        <v>149</v>
      </c>
      <c r="H4" s="2" t="s">
        <v>150</v>
      </c>
      <c r="I4" s="5" t="s">
        <v>151</v>
      </c>
      <c r="J4" s="8" t="str">
        <f>CONCATENATE("IHM_",$F$1,"_",Tabela72[[#This Row],[TG]])</f>
        <v>IHM_CC1_MOD</v>
      </c>
      <c r="K4" s="2" t="str">
        <f>IF(Tabela72[[#This Row],[R|W]]="D","-",CONCATENATE(IF(Tabela72[[#This Row],[B|N]]="Inteira","40","00"),IF(Tabela72[[#This Row],[R|W]]="W","5","0"),$E$1,Tabela72[[#This Row],[N]]))</f>
        <v>-</v>
      </c>
      <c r="L4" s="8" t="str">
        <f t="shared" si="0"/>
        <v>CC1.Modelo</v>
      </c>
      <c r="M4" t="str">
        <f>IF(Tabela72[[#This Row],[R|W]]="D","-",CONCATENATE(IF(Tabela72[[#This Row],[R|W]]="W","5","0"),$E$1,Tabela72[[#This Row],[N]]))</f>
        <v>-</v>
      </c>
      <c r="N4" s="2" t="s">
        <v>298</v>
      </c>
    </row>
    <row r="5" spans="1:14" x14ac:dyDescent="0.25">
      <c r="B5" s="1" t="s">
        <v>286</v>
      </c>
      <c r="C5" t="s">
        <v>294</v>
      </c>
      <c r="E5" s="2" t="s">
        <v>231</v>
      </c>
      <c r="F5" s="8" t="s">
        <v>229</v>
      </c>
      <c r="G5" s="2" t="s">
        <v>154</v>
      </c>
      <c r="H5" s="2" t="s">
        <v>132</v>
      </c>
      <c r="I5" s="2">
        <v>1</v>
      </c>
      <c r="J5" s="38" t="str">
        <f>CONCATENATE("IHM_",$F$1,"_",Tabela72[[#This Row],[TG]])</f>
        <v>IHM_CC1_AP</v>
      </c>
      <c r="K5" s="39" t="str">
        <f>IF(Tabela72[[#This Row],[R|W]]="D","-",CONCATENATE(IF(Tabela72[[#This Row],[B|N]]="Inteira","40","00"),IF(Tabela72[[#This Row],[R|W]]="W","5","0"),$E$1,Tabela72[[#This Row],[N]]))</f>
        <v>000311</v>
      </c>
      <c r="L5" s="38" t="str">
        <f t="shared" si="0"/>
        <v>CC1.Aprovado</v>
      </c>
      <c r="M5" s="40" t="str">
        <f>IF(Tabela72[[#This Row],[R|W]]="D","-",CONCATENATE(IF(Tabela72[[#This Row],[R|W]]="W","5","0"),$E$1,Tabela72[[#This Row],[N]]))</f>
        <v>0311</v>
      </c>
      <c r="N5" s="2" t="s">
        <v>237</v>
      </c>
    </row>
    <row r="6" spans="1:14" x14ac:dyDescent="0.25">
      <c r="B6" s="1" t="s">
        <v>287</v>
      </c>
      <c r="C6" t="s">
        <v>295</v>
      </c>
      <c r="E6" s="2" t="s">
        <v>232</v>
      </c>
      <c r="F6" s="8" t="s">
        <v>230</v>
      </c>
      <c r="G6" s="2" t="s">
        <v>154</v>
      </c>
      <c r="H6" s="2" t="s">
        <v>132</v>
      </c>
      <c r="I6" s="2">
        <v>2</v>
      </c>
      <c r="J6" s="38" t="str">
        <f>CONCATENATE("IHM_",$F$1,"_",Tabela72[[#This Row],[TG]])</f>
        <v>IHM_CC1_RP</v>
      </c>
      <c r="K6" s="39" t="str">
        <f>IF(Tabela72[[#This Row],[R|W]]="D","-",CONCATENATE(IF(Tabela72[[#This Row],[B|N]]="Inteira","40","00"),IF(Tabela72[[#This Row],[R|W]]="W","5","0"),$E$1,Tabela72[[#This Row],[N]]))</f>
        <v>000312</v>
      </c>
      <c r="L6" s="38" t="str">
        <f t="shared" si="0"/>
        <v>CC1.Reprovado</v>
      </c>
      <c r="M6" s="40" t="str">
        <f>IF(Tabela72[[#This Row],[R|W]]="D","-",CONCATENATE(IF(Tabela72[[#This Row],[R|W]]="W","5","0"),$E$1,Tabela72[[#This Row],[N]]))</f>
        <v>0312</v>
      </c>
      <c r="N6" s="2" t="s">
        <v>237</v>
      </c>
    </row>
    <row r="7" spans="1:14" x14ac:dyDescent="0.25">
      <c r="B7" s="1" t="s">
        <v>288</v>
      </c>
      <c r="C7" t="s">
        <v>296</v>
      </c>
      <c r="E7" s="2" t="s">
        <v>152</v>
      </c>
      <c r="F7" s="8" t="s">
        <v>153</v>
      </c>
      <c r="G7" s="2" t="s">
        <v>154</v>
      </c>
      <c r="H7" s="2" t="s">
        <v>129</v>
      </c>
      <c r="I7" s="5">
        <v>1</v>
      </c>
      <c r="J7" s="8" t="str">
        <f>CONCATENATE("IHM_",$F$1,"_",Tabela72[[#This Row],[TG]])</f>
        <v>IHM_CC1_CLB</v>
      </c>
      <c r="K7" s="2" t="str">
        <f>IF(Tabela72[[#This Row],[R|W]]="D","-",CONCATENATE(IF(Tabela72[[#This Row],[B|N]]="Inteira","40","00"),IF(Tabela72[[#This Row],[R|W]]="W","5","0"),$E$1,Tabela72[[#This Row],[N]]))</f>
        <v>005311</v>
      </c>
      <c r="L7" s="8" t="str">
        <f t="shared" si="0"/>
        <v>CC1.Calibrar</v>
      </c>
      <c r="M7" t="str">
        <f>IF(Tabela72[[#This Row],[R|W]]="D","-",CONCATENATE(IF(Tabela72[[#This Row],[R|W]]="W","5","0"),$E$1,Tabela72[[#This Row],[N]]))</f>
        <v>5311</v>
      </c>
      <c r="N7" s="2" t="s">
        <v>300</v>
      </c>
    </row>
    <row r="8" spans="1:14" x14ac:dyDescent="0.25">
      <c r="B8" s="1" t="s">
        <v>289</v>
      </c>
      <c r="C8" t="s">
        <v>219</v>
      </c>
      <c r="E8" s="2" t="s">
        <v>156</v>
      </c>
      <c r="F8" s="8" t="s">
        <v>157</v>
      </c>
      <c r="G8" s="2" t="s">
        <v>154</v>
      </c>
      <c r="H8" s="2" t="s">
        <v>129</v>
      </c>
      <c r="I8" s="5">
        <v>2</v>
      </c>
      <c r="J8" s="8" t="str">
        <f>CONCATENATE("IHM_",$F$1,"_",Tabela72[[#This Row],[TG]])</f>
        <v>IHM_CC1_TT</v>
      </c>
      <c r="K8" s="2" t="str">
        <f>IF(Tabela72[[#This Row],[R|W]]="D","-",CONCATENATE(IF(Tabela72[[#This Row],[B|N]]="Inteira","40","00"),IF(Tabela72[[#This Row],[R|W]]="W","5","0"),$E$1,Tabela72[[#This Row],[N]]))</f>
        <v>005312</v>
      </c>
      <c r="L8" s="8" t="str">
        <f t="shared" si="0"/>
        <v>CC1.Testar</v>
      </c>
      <c r="M8" t="str">
        <f>IF(Tabela72[[#This Row],[R|W]]="D","-",CONCATENATE(IF(Tabela72[[#This Row],[R|W]]="W","5","0"),$E$1,Tabela72[[#This Row],[N]]))</f>
        <v>5312</v>
      </c>
      <c r="N8" s="2"/>
    </row>
    <row r="9" spans="1:14" x14ac:dyDescent="0.25">
      <c r="B9" s="1" t="s">
        <v>290</v>
      </c>
      <c r="E9" s="2" t="s">
        <v>175</v>
      </c>
      <c r="F9" s="8" t="s">
        <v>176</v>
      </c>
      <c r="G9" s="2" t="s">
        <v>154</v>
      </c>
      <c r="H9" s="2" t="s">
        <v>129</v>
      </c>
      <c r="I9" s="5">
        <v>3</v>
      </c>
      <c r="J9" s="8" t="str">
        <f>CONCATENATE("IHM_",$F$1,"_",Tabela72[[#This Row],[TG]])</f>
        <v>IHM_CC1_ZR</v>
      </c>
      <c r="K9" s="2" t="str">
        <f>IF(Tabela72[[#This Row],[R|W]]="D","-",CONCATENATE(IF(Tabela72[[#This Row],[B|N]]="Inteira","40","00"),IF(Tabela72[[#This Row],[R|W]]="W","5","0"),$E$1,Tabela72[[#This Row],[N]]))</f>
        <v>005313</v>
      </c>
      <c r="L9" s="8" t="str">
        <f t="shared" si="0"/>
        <v>CC1.Zerar</v>
      </c>
      <c r="M9" t="str">
        <f>IF(Tabela72[[#This Row],[R|W]]="D","-",CONCATENATE(IF(Tabela72[[#This Row],[R|W]]="W","5","0"),$E$1,Tabela72[[#This Row],[N]]))</f>
        <v>5313</v>
      </c>
      <c r="N9" s="2"/>
    </row>
    <row r="10" spans="1:14" x14ac:dyDescent="0.25">
      <c r="B10" s="1" t="s">
        <v>291</v>
      </c>
      <c r="E10" s="2" t="s">
        <v>180</v>
      </c>
      <c r="F10" s="8" t="s">
        <v>181</v>
      </c>
      <c r="G10" s="2" t="s">
        <v>149</v>
      </c>
      <c r="H10" s="2" t="s">
        <v>132</v>
      </c>
      <c r="I10" s="5">
        <v>1</v>
      </c>
      <c r="J10" s="8" t="str">
        <f>CONCATENATE("IHM_",$F$1,"_",Tabela72[[#This Row],[TG]])</f>
        <v>IHM_CC1_PKE</v>
      </c>
      <c r="K10" s="2" t="str">
        <f>IF(Tabela72[[#This Row],[R|W]]="D","-",CONCATENATE(IF(Tabela72[[#This Row],[B|N]]="Inteira","40","00"),IF(Tabela72[[#This Row],[R|W]]="W","5","0"),$E$1,Tabela72[[#This Row],[N]]))</f>
        <v>400311</v>
      </c>
      <c r="L10" s="8" t="str">
        <f t="shared" si="0"/>
        <v>CC1.PicoEntrada</v>
      </c>
      <c r="M10" t="str">
        <f>IF(Tabela72[[#This Row],[R|W]]="D","-",CONCATENATE(IF(Tabela72[[#This Row],[R|W]]="W","5","0"),$E$1,Tabela72[[#This Row],[N]]))</f>
        <v>0311</v>
      </c>
      <c r="N10" s="2" t="s">
        <v>298</v>
      </c>
    </row>
    <row r="11" spans="1:14" x14ac:dyDescent="0.25">
      <c r="E11" s="2" t="s">
        <v>182</v>
      </c>
      <c r="F11" s="8" t="s">
        <v>183</v>
      </c>
      <c r="G11" s="2" t="s">
        <v>149</v>
      </c>
      <c r="H11" s="2" t="s">
        <v>132</v>
      </c>
      <c r="I11" s="5">
        <v>2</v>
      </c>
      <c r="J11" s="8" t="str">
        <f>CONCATENATE("IHM_",$F$1,"_",Tabela72[[#This Row],[TG]])</f>
        <v>IHM_CC1_PKS</v>
      </c>
      <c r="K11" s="2" t="str">
        <f>IF(Tabela72[[#This Row],[R|W]]="D","-",CONCATENATE(IF(Tabela72[[#This Row],[B|N]]="Inteira","40","00"),IF(Tabela72[[#This Row],[R|W]]="W","5","0"),$E$1,Tabela72[[#This Row],[N]]))</f>
        <v>400312</v>
      </c>
      <c r="L11" s="8" t="str">
        <f t="shared" si="0"/>
        <v>CC1.PicoSaida</v>
      </c>
      <c r="M11" t="str">
        <f>IF(Tabela72[[#This Row],[R|W]]="D","-",CONCATENATE(IF(Tabela72[[#This Row],[R|W]]="W","5","0"),$E$1,Tabela72[[#This Row],[N]]))</f>
        <v>0312</v>
      </c>
      <c r="N11" s="2" t="s">
        <v>237</v>
      </c>
    </row>
    <row r="12" spans="1:14" x14ac:dyDescent="0.25">
      <c r="E12" s="2" t="s">
        <v>177</v>
      </c>
      <c r="F12" s="8" t="s">
        <v>178</v>
      </c>
      <c r="G12" s="2" t="s">
        <v>149</v>
      </c>
      <c r="H12" s="2" t="s">
        <v>132</v>
      </c>
      <c r="I12" s="5">
        <v>3</v>
      </c>
      <c r="J12" s="8" t="str">
        <f>CONCATENATE("IHM_",$F$1,"_",Tabela72[[#This Row],[TG]])</f>
        <v>IHM_CC1_AI</v>
      </c>
      <c r="K12" s="2" t="str">
        <f>IF(Tabela72[[#This Row],[R|W]]="D","-",CONCATENATE(IF(Tabela72[[#This Row],[B|N]]="Inteira","40","00"),IF(Tabela72[[#This Row],[R|W]]="W","5","0"),$E$1,Tabela72[[#This Row],[N]]))</f>
        <v>400313</v>
      </c>
      <c r="L12" s="8" t="str">
        <f t="shared" ref="L12:L23" si="1">CONCATENATE($F$1,".",F12)</f>
        <v>CC1.SensorEntrada</v>
      </c>
      <c r="M12" t="str">
        <f>IF(Tabela72[[#This Row],[R|W]]="D","-",CONCATENATE(IF(Tabela72[[#This Row],[R|W]]="W","5","0"),$E$1,Tabela72[[#This Row],[N]]))</f>
        <v>0313</v>
      </c>
      <c r="N12" s="2" t="s">
        <v>298</v>
      </c>
    </row>
    <row r="13" spans="1:14" x14ac:dyDescent="0.25">
      <c r="E13" s="2" t="s">
        <v>159</v>
      </c>
      <c r="F13" s="8" t="s">
        <v>179</v>
      </c>
      <c r="G13" s="2" t="s">
        <v>149</v>
      </c>
      <c r="H13" s="2" t="s">
        <v>132</v>
      </c>
      <c r="I13" s="5">
        <v>4</v>
      </c>
      <c r="J13" s="8" t="str">
        <f>CONCATENATE("IHM_",$F$1,"_",Tabela72[[#This Row],[TG]])</f>
        <v>IHM_CC1_SN</v>
      </c>
      <c r="K13" s="2" t="str">
        <f>IF(Tabela72[[#This Row],[R|W]]="D","-",CONCATENATE(IF(Tabela72[[#This Row],[B|N]]="Inteira","40","00"),IF(Tabela72[[#This Row],[R|W]]="W","5","0"),$E$1,Tabela72[[#This Row],[N]]))</f>
        <v>400314</v>
      </c>
      <c r="L13" s="8" t="str">
        <f t="shared" si="1"/>
        <v>CC1.SensorSaida</v>
      </c>
      <c r="M13" t="str">
        <f>IF(Tabela72[[#This Row],[R|W]]="D","-",CONCATENATE(IF(Tabela72[[#This Row],[R|W]]="W","5","0"),$E$1,Tabela72[[#This Row],[N]]))</f>
        <v>0314</v>
      </c>
      <c r="N13" s="2" t="s">
        <v>298</v>
      </c>
    </row>
    <row r="14" spans="1:14" x14ac:dyDescent="0.25">
      <c r="E14" s="2" t="s">
        <v>199</v>
      </c>
      <c r="F14" s="8" t="s">
        <v>201</v>
      </c>
      <c r="G14" s="2" t="s">
        <v>149</v>
      </c>
      <c r="H14" s="2" t="s">
        <v>129</v>
      </c>
      <c r="I14" s="2">
        <v>0</v>
      </c>
      <c r="J14" s="38" t="str">
        <f>CONCATENATE("IHM_",$F$1,"_",Tabela72[[#This Row],[TG]])</f>
        <v>IHM_CC1_DA</v>
      </c>
      <c r="K14" s="39" t="str">
        <f>IF(Tabela72[[#This Row],[R|W]]="D","-",CONCATENATE(IF(Tabela72[[#This Row],[B|N]]="Inteira","40","00"),IF(Tabela72[[#This Row],[R|W]]="W","5","0"),$E$1,Tabela72[[#This Row],[N]]))</f>
        <v>405310</v>
      </c>
      <c r="L14" s="38" t="str">
        <f t="shared" si="1"/>
        <v>CC1.DeslocamentoAngular</v>
      </c>
      <c r="M14" s="40" t="str">
        <f>IF(Tabela72[[#This Row],[R|W]]="D","-",CONCATENATE(IF(Tabela72[[#This Row],[R|W]]="W","5","0"),$E$1,Tabela72[[#This Row],[N]]))</f>
        <v>5310</v>
      </c>
      <c r="N14" s="2" t="s">
        <v>298</v>
      </c>
    </row>
    <row r="15" spans="1:14" x14ac:dyDescent="0.25">
      <c r="E15" s="2" t="s">
        <v>198</v>
      </c>
      <c r="F15" s="8" t="s">
        <v>200</v>
      </c>
      <c r="G15" s="2" t="s">
        <v>149</v>
      </c>
      <c r="H15" s="2" t="s">
        <v>129</v>
      </c>
      <c r="I15" s="2">
        <v>1</v>
      </c>
      <c r="J15" s="38" t="str">
        <f>CONCATENATE("IHM_",$F$1,"_",Tabela72[[#This Row],[TG]])</f>
        <v>IHM_CC1_DL</v>
      </c>
      <c r="K15" s="39" t="str">
        <f>IF(Tabela72[[#This Row],[R|W]]="D","-",CONCATENATE(IF(Tabela72[[#This Row],[B|N]]="Inteira","40","00"),IF(Tabela72[[#This Row],[R|W]]="W","5","0"),$E$1,Tabela72[[#This Row],[N]]))</f>
        <v>405311</v>
      </c>
      <c r="L15" s="38" t="str">
        <f t="shared" si="1"/>
        <v>CC1.DeslocamentoLinear</v>
      </c>
      <c r="M15" s="40" t="str">
        <f>IF(Tabela72[[#This Row],[R|W]]="D","-",CONCATENATE(IF(Tabela72[[#This Row],[R|W]]="W","5","0"),$E$1,Tabela72[[#This Row],[N]]))</f>
        <v>5311</v>
      </c>
      <c r="N15" s="2" t="s">
        <v>298</v>
      </c>
    </row>
    <row r="16" spans="1:14" x14ac:dyDescent="0.25">
      <c r="E16" s="2" t="s">
        <v>239</v>
      </c>
      <c r="F16" s="8" t="s">
        <v>203</v>
      </c>
      <c r="G16" s="2" t="s">
        <v>149</v>
      </c>
      <c r="H16" s="2" t="s">
        <v>129</v>
      </c>
      <c r="I16" s="5">
        <v>2</v>
      </c>
      <c r="J16" s="38" t="str">
        <f>CONCATENATE("IHM_",$F$1,"_",Tabela72[[#This Row],[TG]])</f>
        <v>IHM_CC1_EMX</v>
      </c>
      <c r="K16" s="39" t="str">
        <f>IF(Tabela72[[#This Row],[R|W]]="D","-",CONCATENATE(IF(Tabela72[[#This Row],[B|N]]="Inteira","40","00"),IF(Tabela72[[#This Row],[R|W]]="W","5","0"),$E$1,Tabela72[[#This Row],[N]]))</f>
        <v>405312</v>
      </c>
      <c r="L16" s="38" t="str">
        <f t="shared" si="1"/>
        <v>CC1.EntradaMaxima</v>
      </c>
      <c r="M16" s="40" t="str">
        <f>IF(Tabela72[[#This Row],[R|W]]="D","-",CONCATENATE(IF(Tabela72[[#This Row],[R|W]]="W","5","0"),$E$1,Tabela72[[#This Row],[N]]))</f>
        <v>5312</v>
      </c>
      <c r="N16" s="2" t="s">
        <v>298</v>
      </c>
    </row>
    <row r="17" spans="5:14" x14ac:dyDescent="0.25">
      <c r="E17" s="2" t="s">
        <v>238</v>
      </c>
      <c r="F17" s="8" t="s">
        <v>202</v>
      </c>
      <c r="G17" s="2" t="s">
        <v>149</v>
      </c>
      <c r="H17" s="2" t="s">
        <v>129</v>
      </c>
      <c r="I17" s="5">
        <v>3</v>
      </c>
      <c r="J17" s="38" t="str">
        <f>CONCATENATE("IHM_",$F$1,"_",Tabela72[[#This Row],[TG]])</f>
        <v>IHM_CC1_EMN</v>
      </c>
      <c r="K17" s="39" t="str">
        <f>IF(Tabela72[[#This Row],[R|W]]="D","-",CONCATENATE(IF(Tabela72[[#This Row],[B|N]]="Inteira","40","00"),IF(Tabela72[[#This Row],[R|W]]="W","5","0"),$E$1,Tabela72[[#This Row],[N]]))</f>
        <v>405313</v>
      </c>
      <c r="L17" s="38" t="str">
        <f t="shared" si="1"/>
        <v>CC1.EntradaMinima</v>
      </c>
      <c r="M17" s="40" t="str">
        <f>IF(Tabela72[[#This Row],[R|W]]="D","-",CONCATENATE(IF(Tabela72[[#This Row],[R|W]]="W","5","0"),$E$1,Tabela72[[#This Row],[N]]))</f>
        <v>5313</v>
      </c>
      <c r="N17" s="2" t="s">
        <v>298</v>
      </c>
    </row>
    <row r="18" spans="5:14" x14ac:dyDescent="0.25">
      <c r="E18" s="2" t="s">
        <v>166</v>
      </c>
      <c r="F18" s="8" t="s">
        <v>167</v>
      </c>
      <c r="G18" s="2" t="s">
        <v>149</v>
      </c>
      <c r="H18" s="2" t="s">
        <v>129</v>
      </c>
      <c r="I18" s="5">
        <v>4</v>
      </c>
      <c r="J18" s="8" t="str">
        <f>CONCATENATE("IHM_",$F$1,"_",Tabela72[[#This Row],[TG]])</f>
        <v>IHM_CC1_MX</v>
      </c>
      <c r="K18" s="2" t="str">
        <f>IF(Tabela72[[#This Row],[R|W]]="D","-",CONCATENATE(IF(Tabela72[[#This Row],[B|N]]="Inteira","40","00"),IF(Tabela72[[#This Row],[R|W]]="W","5","0"),$E$1,Tabela72[[#This Row],[N]]))</f>
        <v>405314</v>
      </c>
      <c r="L18" s="9" t="str">
        <f t="shared" si="1"/>
        <v>CC1.Maximo</v>
      </c>
      <c r="M18" t="str">
        <f>IF(Tabela72[[#This Row],[R|W]]="D","-",CONCATENATE(IF(Tabela72[[#This Row],[R|W]]="W","5","0"),$E$1,Tabela72[[#This Row],[N]]))</f>
        <v>5314</v>
      </c>
      <c r="N18" s="2" t="s">
        <v>298</v>
      </c>
    </row>
    <row r="19" spans="5:14" x14ac:dyDescent="0.25">
      <c r="E19" s="2" t="s">
        <v>184</v>
      </c>
      <c r="F19" s="8" t="s">
        <v>185</v>
      </c>
      <c r="G19" s="2" t="s">
        <v>149</v>
      </c>
      <c r="H19" s="2" t="s">
        <v>129</v>
      </c>
      <c r="I19" s="2">
        <v>5</v>
      </c>
      <c r="J19" s="8" t="str">
        <f>CONCATENATE("IHM_",$F$1,"_",Tabela72[[#This Row],[TG]])</f>
        <v>IHM_CC1_MED</v>
      </c>
      <c r="K19" s="2" t="str">
        <f>IF(Tabela72[[#This Row],[R|W]]="D","-",CONCATENATE(IF(Tabela72[[#This Row],[B|N]]="Inteira","40","00"),IF(Tabela72[[#This Row],[R|W]]="W","5","0"),$E$1,Tabela72[[#This Row],[N]]))</f>
        <v>405315</v>
      </c>
      <c r="L19" s="9" t="str">
        <f t="shared" si="1"/>
        <v>CC1.Medido</v>
      </c>
      <c r="M19" t="str">
        <f>IF(Tabela72[[#This Row],[R|W]]="D","-",CONCATENATE(IF(Tabela72[[#This Row],[R|W]]="W","5","0"),$E$1,Tabela72[[#This Row],[N]]))</f>
        <v>5315</v>
      </c>
      <c r="N19" s="2" t="s">
        <v>298</v>
      </c>
    </row>
    <row r="20" spans="5:14" x14ac:dyDescent="0.25">
      <c r="E20" s="2" t="s">
        <v>145</v>
      </c>
      <c r="F20" s="8" t="s">
        <v>169</v>
      </c>
      <c r="G20" s="2" t="s">
        <v>149</v>
      </c>
      <c r="H20" s="2" t="s">
        <v>129</v>
      </c>
      <c r="I20" s="2">
        <v>6</v>
      </c>
      <c r="J20" s="8" t="str">
        <f>CONCATENATE("IHM_",$F$1,"_",Tabela72[[#This Row],[TG]])</f>
        <v>IHM_CC1_MN</v>
      </c>
      <c r="K20" s="2" t="str">
        <f>IF(Tabela72[[#This Row],[R|W]]="D","-",CONCATENATE(IF(Tabela72[[#This Row],[B|N]]="Inteira","40","00"),IF(Tabela72[[#This Row],[R|W]]="W","5","0"),$E$1,Tabela72[[#This Row],[N]]))</f>
        <v>405316</v>
      </c>
      <c r="L20" s="9" t="str">
        <f t="shared" si="1"/>
        <v>CC1.Minimo</v>
      </c>
      <c r="M20" t="str">
        <f>IF(Tabela72[[#This Row],[R|W]]="D","-",CONCATENATE(IF(Tabela72[[#This Row],[R|W]]="W","5","0"),$E$1,Tabela72[[#This Row],[N]]))</f>
        <v>5316</v>
      </c>
      <c r="N20" s="2" t="s">
        <v>298</v>
      </c>
    </row>
    <row r="21" spans="5:14" x14ac:dyDescent="0.25">
      <c r="E21" s="2" t="s">
        <v>241</v>
      </c>
      <c r="F21" s="8" t="s">
        <v>207</v>
      </c>
      <c r="G21" s="2" t="s">
        <v>149</v>
      </c>
      <c r="H21" s="2" t="s">
        <v>129</v>
      </c>
      <c r="I21" s="2">
        <v>7</v>
      </c>
      <c r="J21" s="38" t="str">
        <f>CONCATENATE("IHM_",$F$1,"_",Tabela72[[#This Row],[TG]])</f>
        <v>IHM_CC1_SMX</v>
      </c>
      <c r="K21" s="39" t="str">
        <f>IF(Tabela72[[#This Row],[R|W]]="D","-",CONCATENATE(IF(Tabela72[[#This Row],[B|N]]="Inteira","40","00"),IF(Tabela72[[#This Row],[R|W]]="W","5","0"),$E$1,Tabela72[[#This Row],[N]]))</f>
        <v>405317</v>
      </c>
      <c r="L21" s="38" t="str">
        <f t="shared" si="1"/>
        <v>CC1.SaidaMaxima</v>
      </c>
      <c r="M21" s="40" t="str">
        <f>IF(Tabela72[[#This Row],[R|W]]="D","-",CONCATENATE(IF(Tabela72[[#This Row],[R|W]]="W","5","0"),$E$1,Tabela72[[#This Row],[N]]))</f>
        <v>5317</v>
      </c>
      <c r="N21" s="2" t="s">
        <v>298</v>
      </c>
    </row>
    <row r="22" spans="5:14" x14ac:dyDescent="0.25">
      <c r="E22" s="2" t="s">
        <v>240</v>
      </c>
      <c r="F22" s="8" t="s">
        <v>206</v>
      </c>
      <c r="G22" s="2" t="s">
        <v>149</v>
      </c>
      <c r="H22" s="2" t="s">
        <v>129</v>
      </c>
      <c r="I22" s="2">
        <v>8</v>
      </c>
      <c r="J22" s="38" t="str">
        <f>CONCATENATE("IHM_",$F$1,"_",Tabela72[[#This Row],[TG]])</f>
        <v>IHM_CC1_SMN</v>
      </c>
      <c r="K22" s="39" t="str">
        <f>IF(Tabela72[[#This Row],[R|W]]="D","-",CONCATENATE(IF(Tabela72[[#This Row],[B|N]]="Inteira","40","00"),IF(Tabela72[[#This Row],[R|W]]="W","5","0"),$E$1,Tabela72[[#This Row],[N]]))</f>
        <v>405318</v>
      </c>
      <c r="L22" s="38" t="str">
        <f t="shared" si="1"/>
        <v>CC1.SaidaMinima</v>
      </c>
      <c r="M22" s="40" t="str">
        <f>IF(Tabela72[[#This Row],[R|W]]="D","-",CONCATENATE(IF(Tabela72[[#This Row],[R|W]]="W","5","0"),$E$1,Tabela72[[#This Row],[N]]))</f>
        <v>5318</v>
      </c>
      <c r="N22" s="2" t="s">
        <v>298</v>
      </c>
    </row>
    <row r="23" spans="5:14" x14ac:dyDescent="0.25">
      <c r="E23" s="2" t="s">
        <v>171</v>
      </c>
      <c r="F23" s="8" t="s">
        <v>172</v>
      </c>
      <c r="G23" s="2" t="s">
        <v>149</v>
      </c>
      <c r="H23" s="2" t="s">
        <v>129</v>
      </c>
      <c r="I23" s="2">
        <v>9</v>
      </c>
      <c r="J23" s="38" t="str">
        <f>CONCATENATE("IHM_",$F$1,"_",Tabela72[[#This Row],[TG]])</f>
        <v>IHM_CC1_TM</v>
      </c>
      <c r="K23" s="39" t="str">
        <f>IF(Tabela72[[#This Row],[R|W]]="D","-",CONCATENATE(IF(Tabela72[[#This Row],[B|N]]="Inteira","40","00"),IF(Tabela72[[#This Row],[R|W]]="W","5","0"),$E$1,Tabela72[[#This Row],[N]]))</f>
        <v>405319</v>
      </c>
      <c r="L23" s="38" t="str">
        <f t="shared" si="1"/>
        <v>CC1.Tempo</v>
      </c>
      <c r="M23" s="40" t="str">
        <f>IF(Tabela72[[#This Row],[R|W]]="D","-",CONCATENATE(IF(Tabela72[[#This Row],[R|W]]="W","5","0"),$E$1,Tabela72[[#This Row],[N]]))</f>
        <v>5319</v>
      </c>
      <c r="N23" s="2" t="s">
        <v>298</v>
      </c>
    </row>
  </sheetData>
  <phoneticPr fontId="1" type="noConversion"/>
  <conditionalFormatting sqref="K1:K1048576">
    <cfRule type="duplicateValues" dxfId="110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3257-0390-488D-9525-95C546107D64}">
  <dimension ref="A1:K23"/>
  <sheetViews>
    <sheetView zoomScale="160" zoomScaleNormal="160" workbookViewId="0">
      <selection activeCell="D6" sqref="D6"/>
    </sheetView>
  </sheetViews>
  <sheetFormatPr defaultRowHeight="15" x14ac:dyDescent="0.25"/>
  <cols>
    <col min="1" max="1" width="3" bestFit="1" customWidth="1"/>
    <col min="2" max="2" width="8.140625" bestFit="1" customWidth="1"/>
    <col min="3" max="3" width="20.85546875" style="8" bestFit="1" customWidth="1"/>
    <col min="4" max="4" width="9.5703125" bestFit="1" customWidth="1"/>
    <col min="5" max="5" width="10.140625" bestFit="1" customWidth="1"/>
    <col min="6" max="6" width="7.140625" bestFit="1" customWidth="1"/>
    <col min="7" max="7" width="14.42578125" style="8" bestFit="1" customWidth="1"/>
    <col min="8" max="8" width="12.85546875" bestFit="1" customWidth="1"/>
    <col min="9" max="9" width="24.85546875" style="8" bestFit="1" customWidth="1"/>
    <col min="10" max="10" width="13.42578125" bestFit="1" customWidth="1"/>
  </cols>
  <sheetData>
    <row r="1" spans="1:11" x14ac:dyDescent="0.25">
      <c r="A1" s="1"/>
      <c r="B1" s="41">
        <v>21</v>
      </c>
      <c r="C1" t="str">
        <f>CONCATENATE(VLOOKUP(CONCATENATE(LEFT(B1,1),0),SCL!B2:C10,2),RIGHT(B1))</f>
        <v>SA1</v>
      </c>
      <c r="I1" s="9"/>
    </row>
    <row r="2" spans="1:11" s="12" customFormat="1" ht="16.5" thickBot="1" x14ac:dyDescent="0.3">
      <c r="B2" s="21" t="s">
        <v>139</v>
      </c>
      <c r="C2" s="21" t="s">
        <v>125</v>
      </c>
      <c r="D2" s="21" t="s">
        <v>2</v>
      </c>
      <c r="E2" s="21" t="s">
        <v>3</v>
      </c>
      <c r="F2" s="22" t="s">
        <v>126</v>
      </c>
      <c r="G2" s="21" t="s">
        <v>140</v>
      </c>
      <c r="H2" s="21" t="s">
        <v>141</v>
      </c>
      <c r="I2" s="21" t="s">
        <v>142</v>
      </c>
      <c r="J2" s="21" t="s">
        <v>143</v>
      </c>
      <c r="K2" s="21" t="s">
        <v>297</v>
      </c>
    </row>
    <row r="3" spans="1:11" x14ac:dyDescent="0.25">
      <c r="B3" s="2" t="s">
        <v>146</v>
      </c>
      <c r="C3" s="8" t="s">
        <v>147</v>
      </c>
      <c r="D3" s="2" t="s">
        <v>154</v>
      </c>
      <c r="E3" s="2" t="s">
        <v>150</v>
      </c>
      <c r="F3" s="5" t="s">
        <v>151</v>
      </c>
      <c r="G3" s="38" t="str">
        <f>CONCATENATE("IHM_",$C$1,"_",Tabela7[[#This Row],[TG]])</f>
        <v>IHM_SA1_SV</v>
      </c>
      <c r="H3" s="39" t="str">
        <f>IF(Tabela7[[#This Row],[R|W]]="D","-",CONCATENATE(IF(Tabela7[[#This Row],[B|N]]="Inteira","40","00"),IF(Tabela7[[#This Row],[R|W]]="W","5","0"),$B$1,Tabela7[[#This Row],[N]]))</f>
        <v>-</v>
      </c>
      <c r="I3" s="38" t="str">
        <f t="shared" ref="I3:I23" si="0">CONCATENATE($C$1,".",C3)</f>
        <v>SA1.Salvar</v>
      </c>
      <c r="J3" s="40" t="str">
        <f>IF(Tabela7[[#This Row],[R|W]]="D","-",CONCATENATE(IF(Tabela7[[#This Row],[R|W]]="W","5","0"),$B$1,Tabela7[[#This Row],[N]]))</f>
        <v>-</v>
      </c>
      <c r="K3" s="2" t="s">
        <v>299</v>
      </c>
    </row>
    <row r="4" spans="1:11" x14ac:dyDescent="0.25">
      <c r="B4" s="2" t="s">
        <v>148</v>
      </c>
      <c r="C4" s="8" t="s">
        <v>133</v>
      </c>
      <c r="D4" s="2" t="s">
        <v>149</v>
      </c>
      <c r="E4" s="2" t="s">
        <v>150</v>
      </c>
      <c r="F4" s="5" t="s">
        <v>151</v>
      </c>
      <c r="G4" s="8" t="str">
        <f>CONCATENATE("IHM_",$C$1,"_",Tabela7[[#This Row],[TG]])</f>
        <v>IHM_SA1_MOD</v>
      </c>
      <c r="H4" s="2" t="str">
        <f>IF(Tabela7[[#This Row],[R|W]]="D","-",CONCATENATE(IF(Tabela7[[#This Row],[B|N]]="Inteira","40","00"),IF(Tabela7[[#This Row],[R|W]]="W","5","0"),$B$1,Tabela7[[#This Row],[N]]))</f>
        <v>-</v>
      </c>
      <c r="I4" s="8" t="str">
        <f t="shared" si="0"/>
        <v>SA1.Modelo</v>
      </c>
      <c r="J4" t="str">
        <f>IF(Tabela7[[#This Row],[R|W]]="D","-",CONCATENATE(IF(Tabela7[[#This Row],[R|W]]="W","5","0"),$B$1,Tabela7[[#This Row],[N]]))</f>
        <v>-</v>
      </c>
      <c r="K4" s="2" t="s">
        <v>298</v>
      </c>
    </row>
    <row r="5" spans="1:11" x14ac:dyDescent="0.25">
      <c r="A5" s="1"/>
      <c r="B5" s="2" t="s">
        <v>231</v>
      </c>
      <c r="C5" s="8" t="s">
        <v>229</v>
      </c>
      <c r="D5" s="2" t="s">
        <v>154</v>
      </c>
      <c r="E5" s="2" t="s">
        <v>132</v>
      </c>
      <c r="F5" s="2">
        <v>1</v>
      </c>
      <c r="G5" s="38" t="str">
        <f>CONCATENATE("IHM_",$C$1,"_",Tabela7[[#This Row],[TG]])</f>
        <v>IHM_SA1_AP</v>
      </c>
      <c r="H5" s="39" t="str">
        <f>IF(Tabela7[[#This Row],[R|W]]="D","-",CONCATENATE(IF(Tabela7[[#This Row],[B|N]]="Inteira","40","00"),IF(Tabela7[[#This Row],[R|W]]="W","5","0"),$B$1,Tabela7[[#This Row],[N]]))</f>
        <v>000211</v>
      </c>
      <c r="I5" s="38" t="str">
        <f t="shared" si="0"/>
        <v>SA1.Aprovado</v>
      </c>
      <c r="J5" s="40" t="str">
        <f>IF(Tabela7[[#This Row],[R|W]]="D","-",CONCATENATE(IF(Tabela7[[#This Row],[R|W]]="W","5","0"),$B$1,Tabela7[[#This Row],[N]]))</f>
        <v>0211</v>
      </c>
      <c r="K5" s="2" t="s">
        <v>237</v>
      </c>
    </row>
    <row r="6" spans="1:11" x14ac:dyDescent="0.25">
      <c r="A6" s="1"/>
      <c r="B6" s="2" t="s">
        <v>232</v>
      </c>
      <c r="C6" s="8" t="s">
        <v>230</v>
      </c>
      <c r="D6" s="2" t="s">
        <v>154</v>
      </c>
      <c r="E6" s="2" t="s">
        <v>132</v>
      </c>
      <c r="F6" s="2">
        <v>2</v>
      </c>
      <c r="G6" s="38" t="str">
        <f>CONCATENATE("IHM_",$C$1,"_",Tabela7[[#This Row],[TG]])</f>
        <v>IHM_SA1_RP</v>
      </c>
      <c r="H6" s="39" t="str">
        <f>IF(Tabela7[[#This Row],[R|W]]="D","-",CONCATENATE(IF(Tabela7[[#This Row],[B|N]]="Inteira","40","00"),IF(Tabela7[[#This Row],[R|W]]="W","5","0"),$B$1,Tabela7[[#This Row],[N]]))</f>
        <v>000212</v>
      </c>
      <c r="I6" s="38" t="str">
        <f t="shared" si="0"/>
        <v>SA1.Reprovado</v>
      </c>
      <c r="J6" s="40" t="str">
        <f>IF(Tabela7[[#This Row],[R|W]]="D","-",CONCATENATE(IF(Tabela7[[#This Row],[R|W]]="W","5","0"),$B$1,Tabela7[[#This Row],[N]]))</f>
        <v>0212</v>
      </c>
      <c r="K6" s="2" t="s">
        <v>237</v>
      </c>
    </row>
    <row r="7" spans="1:11" x14ac:dyDescent="0.25">
      <c r="A7" s="1"/>
      <c r="B7" s="2" t="s">
        <v>152</v>
      </c>
      <c r="C7" s="8" t="s">
        <v>153</v>
      </c>
      <c r="D7" s="2" t="s">
        <v>154</v>
      </c>
      <c r="E7" s="2" t="s">
        <v>129</v>
      </c>
      <c r="F7" s="5">
        <v>1</v>
      </c>
      <c r="G7" s="8" t="str">
        <f>CONCATENATE("IHM_",$C$1,"_",Tabela7[[#This Row],[TG]])</f>
        <v>IHM_SA1_CLB</v>
      </c>
      <c r="H7" s="2" t="str">
        <f>IF(Tabela7[[#This Row],[R|W]]="D","-",CONCATENATE(IF(Tabela7[[#This Row],[B|N]]="Inteira","40","00"),IF(Tabela7[[#This Row],[R|W]]="W","5","0"),$B$1,Tabela7[[#This Row],[N]]))</f>
        <v>005211</v>
      </c>
      <c r="I7" s="8" t="str">
        <f t="shared" si="0"/>
        <v>SA1.Calibrar</v>
      </c>
      <c r="J7" t="str">
        <f>IF(Tabela7[[#This Row],[R|W]]="D","-",CONCATENATE(IF(Tabela7[[#This Row],[R|W]]="W","5","0"),$B$1,Tabela7[[#This Row],[N]]))</f>
        <v>5211</v>
      </c>
      <c r="K7" s="2" t="s">
        <v>300</v>
      </c>
    </row>
    <row r="8" spans="1:11" x14ac:dyDescent="0.25">
      <c r="A8" s="1"/>
      <c r="B8" s="2" t="s">
        <v>156</v>
      </c>
      <c r="C8" s="8" t="s">
        <v>157</v>
      </c>
      <c r="D8" s="2" t="s">
        <v>154</v>
      </c>
      <c r="E8" s="2" t="s">
        <v>129</v>
      </c>
      <c r="F8" s="5">
        <v>2</v>
      </c>
      <c r="G8" s="8" t="str">
        <f>CONCATENATE("IHM_",$C$1,"_",Tabela7[[#This Row],[TG]])</f>
        <v>IHM_SA1_TT</v>
      </c>
      <c r="H8" s="2" t="str">
        <f>IF(Tabela7[[#This Row],[R|W]]="D","-",CONCATENATE(IF(Tabela7[[#This Row],[B|N]]="Inteira","40","00"),IF(Tabela7[[#This Row],[R|W]]="W","5","0"),$B$1,Tabela7[[#This Row],[N]]))</f>
        <v>005212</v>
      </c>
      <c r="I8" s="8" t="str">
        <f t="shared" si="0"/>
        <v>SA1.Testar</v>
      </c>
      <c r="J8" t="str">
        <f>IF(Tabela7[[#This Row],[R|W]]="D","-",CONCATENATE(IF(Tabela7[[#This Row],[R|W]]="W","5","0"),$B$1,Tabela7[[#This Row],[N]]))</f>
        <v>5212</v>
      </c>
      <c r="K8" s="2"/>
    </row>
    <row r="9" spans="1:11" x14ac:dyDescent="0.25">
      <c r="A9" s="1"/>
      <c r="B9" s="2" t="s">
        <v>175</v>
      </c>
      <c r="C9" s="8" t="s">
        <v>176</v>
      </c>
      <c r="D9" s="2" t="s">
        <v>154</v>
      </c>
      <c r="E9" s="2" t="s">
        <v>129</v>
      </c>
      <c r="F9" s="5">
        <v>3</v>
      </c>
      <c r="G9" s="8" t="str">
        <f>CONCATENATE("IHM_",$C$1,"_",Tabela7[[#This Row],[TG]])</f>
        <v>IHM_SA1_ZR</v>
      </c>
      <c r="H9" s="2" t="str">
        <f>IF(Tabela7[[#This Row],[R|W]]="D","-",CONCATENATE(IF(Tabela7[[#This Row],[B|N]]="Inteira","40","00"),IF(Tabela7[[#This Row],[R|W]]="W","5","0"),$B$1,Tabela7[[#This Row],[N]]))</f>
        <v>005213</v>
      </c>
      <c r="I9" s="8" t="str">
        <f t="shared" si="0"/>
        <v>SA1.Zerar</v>
      </c>
      <c r="J9" t="str">
        <f>IF(Tabela7[[#This Row],[R|W]]="D","-",CONCATENATE(IF(Tabela7[[#This Row],[R|W]]="W","5","0"),$B$1,Tabela7[[#This Row],[N]]))</f>
        <v>5213</v>
      </c>
      <c r="K9" s="2"/>
    </row>
    <row r="10" spans="1:11" x14ac:dyDescent="0.25">
      <c r="A10" s="1"/>
      <c r="B10" s="2" t="s">
        <v>180</v>
      </c>
      <c r="C10" s="8" t="s">
        <v>181</v>
      </c>
      <c r="D10" s="2" t="s">
        <v>149</v>
      </c>
      <c r="E10" s="2" t="s">
        <v>132</v>
      </c>
      <c r="F10" s="5">
        <v>1</v>
      </c>
      <c r="G10" s="8" t="str">
        <f>CONCATENATE("IHM_",$C$1,"_",Tabela7[[#This Row],[TG]])</f>
        <v>IHM_SA1_PKE</v>
      </c>
      <c r="H10" s="2" t="str">
        <f>IF(Tabela7[[#This Row],[R|W]]="D","-",CONCATENATE(IF(Tabela7[[#This Row],[B|N]]="Inteira","40","00"),IF(Tabela7[[#This Row],[R|W]]="W","5","0"),$B$1,Tabela7[[#This Row],[N]]))</f>
        <v>400211</v>
      </c>
      <c r="I10" s="8" t="str">
        <f t="shared" si="0"/>
        <v>SA1.PicoEntrada</v>
      </c>
      <c r="J10" t="str">
        <f>IF(Tabela7[[#This Row],[R|W]]="D","-",CONCATENATE(IF(Tabela7[[#This Row],[R|W]]="W","5","0"),$B$1,Tabela7[[#This Row],[N]]))</f>
        <v>0211</v>
      </c>
      <c r="K10" s="2" t="s">
        <v>298</v>
      </c>
    </row>
    <row r="11" spans="1:11" x14ac:dyDescent="0.25">
      <c r="B11" s="2" t="s">
        <v>182</v>
      </c>
      <c r="C11" s="8" t="s">
        <v>183</v>
      </c>
      <c r="D11" s="2" t="s">
        <v>149</v>
      </c>
      <c r="E11" s="2" t="s">
        <v>132</v>
      </c>
      <c r="F11" s="5">
        <v>2</v>
      </c>
      <c r="G11" s="8" t="str">
        <f>CONCATENATE("IHM_",$C$1,"_",Tabela7[[#This Row],[TG]])</f>
        <v>IHM_SA1_PKS</v>
      </c>
      <c r="H11" s="2" t="str">
        <f>IF(Tabela7[[#This Row],[R|W]]="D","-",CONCATENATE(IF(Tabela7[[#This Row],[B|N]]="Inteira","40","00"),IF(Tabela7[[#This Row],[R|W]]="W","5","0"),$B$1,Tabela7[[#This Row],[N]]))</f>
        <v>400212</v>
      </c>
      <c r="I11" s="8" t="str">
        <f t="shared" si="0"/>
        <v>SA1.PicoSaida</v>
      </c>
      <c r="J11" t="str">
        <f>IF(Tabela7[[#This Row],[R|W]]="D","-",CONCATENATE(IF(Tabela7[[#This Row],[R|W]]="W","5","0"),$B$1,Tabela7[[#This Row],[N]]))</f>
        <v>0212</v>
      </c>
      <c r="K11" s="2" t="s">
        <v>237</v>
      </c>
    </row>
    <row r="12" spans="1:11" x14ac:dyDescent="0.25">
      <c r="B12" s="2" t="s">
        <v>177</v>
      </c>
      <c r="C12" s="8" t="s">
        <v>178</v>
      </c>
      <c r="D12" s="2" t="s">
        <v>149</v>
      </c>
      <c r="E12" s="2" t="s">
        <v>132</v>
      </c>
      <c r="F12" s="5">
        <v>3</v>
      </c>
      <c r="G12" s="8" t="str">
        <f>CONCATENATE("IHM_",$C$1,"_",Tabela7[[#This Row],[TG]])</f>
        <v>IHM_SA1_AI</v>
      </c>
      <c r="H12" s="2" t="str">
        <f>IF(Tabela7[[#This Row],[R|W]]="D","-",CONCATENATE(IF(Tabela7[[#This Row],[B|N]]="Inteira","40","00"),IF(Tabela7[[#This Row],[R|W]]="W","5","0"),$B$1,Tabela7[[#This Row],[N]]))</f>
        <v>400213</v>
      </c>
      <c r="I12" s="8" t="str">
        <f t="shared" si="0"/>
        <v>SA1.SensorEntrada</v>
      </c>
      <c r="J12" t="str">
        <f>IF(Tabela7[[#This Row],[R|W]]="D","-",CONCATENATE(IF(Tabela7[[#This Row],[R|W]]="W","5","0"),$B$1,Tabela7[[#This Row],[N]]))</f>
        <v>0213</v>
      </c>
      <c r="K12" s="2" t="s">
        <v>298</v>
      </c>
    </row>
    <row r="13" spans="1:11" x14ac:dyDescent="0.25">
      <c r="B13" s="2" t="s">
        <v>159</v>
      </c>
      <c r="C13" s="8" t="s">
        <v>179</v>
      </c>
      <c r="D13" s="2" t="s">
        <v>149</v>
      </c>
      <c r="E13" s="2" t="s">
        <v>132</v>
      </c>
      <c r="F13" s="5">
        <v>4</v>
      </c>
      <c r="G13" s="8" t="str">
        <f>CONCATENATE("IHM_",$C$1,"_",Tabela7[[#This Row],[TG]])</f>
        <v>IHM_SA1_SN</v>
      </c>
      <c r="H13" s="2" t="str">
        <f>IF(Tabela7[[#This Row],[R|W]]="D","-",CONCATENATE(IF(Tabela7[[#This Row],[B|N]]="Inteira","40","00"),IF(Tabela7[[#This Row],[R|W]]="W","5","0"),$B$1,Tabela7[[#This Row],[N]]))</f>
        <v>400214</v>
      </c>
      <c r="I13" s="8" t="str">
        <f t="shared" si="0"/>
        <v>SA1.SensorSaida</v>
      </c>
      <c r="J13" t="str">
        <f>IF(Tabela7[[#This Row],[R|W]]="D","-",CONCATENATE(IF(Tabela7[[#This Row],[R|W]]="W","5","0"),$B$1,Tabela7[[#This Row],[N]]))</f>
        <v>0214</v>
      </c>
      <c r="K13" s="2" t="s">
        <v>298</v>
      </c>
    </row>
    <row r="14" spans="1:11" x14ac:dyDescent="0.25">
      <c r="B14" s="2" t="s">
        <v>199</v>
      </c>
      <c r="C14" s="8" t="s">
        <v>201</v>
      </c>
      <c r="D14" s="2" t="s">
        <v>149</v>
      </c>
      <c r="E14" s="2" t="s">
        <v>129</v>
      </c>
      <c r="F14" s="2">
        <v>0</v>
      </c>
      <c r="G14" s="38" t="str">
        <f>CONCATENATE("IHM_",$C$1,"_",Tabela7[[#This Row],[TG]])</f>
        <v>IHM_SA1_DA</v>
      </c>
      <c r="H14" s="39" t="str">
        <f>IF(Tabela7[[#This Row],[R|W]]="D","-",CONCATENATE(IF(Tabela7[[#This Row],[B|N]]="Inteira","40","00"),IF(Tabela7[[#This Row],[R|W]]="W","5","0"),$B$1,Tabela7[[#This Row],[N]]))</f>
        <v>405210</v>
      </c>
      <c r="I14" s="38" t="str">
        <f t="shared" si="0"/>
        <v>SA1.DeslocamentoAngular</v>
      </c>
      <c r="J14" s="40" t="str">
        <f>IF(Tabela7[[#This Row],[R|W]]="D","-",CONCATENATE(IF(Tabela7[[#This Row],[R|W]]="W","5","0"),$B$1,Tabela7[[#This Row],[N]]))</f>
        <v>5210</v>
      </c>
      <c r="K14" s="2" t="s">
        <v>298</v>
      </c>
    </row>
    <row r="15" spans="1:11" x14ac:dyDescent="0.25">
      <c r="B15" s="2" t="s">
        <v>198</v>
      </c>
      <c r="C15" s="8" t="s">
        <v>200</v>
      </c>
      <c r="D15" s="2" t="s">
        <v>149</v>
      </c>
      <c r="E15" s="2" t="s">
        <v>129</v>
      </c>
      <c r="F15" s="2">
        <v>1</v>
      </c>
      <c r="G15" s="38" t="str">
        <f>CONCATENATE("IHM_",$C$1,"_",Tabela7[[#This Row],[TG]])</f>
        <v>IHM_SA1_DL</v>
      </c>
      <c r="H15" s="39" t="str">
        <f>IF(Tabela7[[#This Row],[R|W]]="D","-",CONCATENATE(IF(Tabela7[[#This Row],[B|N]]="Inteira","40","00"),IF(Tabela7[[#This Row],[R|W]]="W","5","0"),$B$1,Tabela7[[#This Row],[N]]))</f>
        <v>405211</v>
      </c>
      <c r="I15" s="38" t="str">
        <f t="shared" si="0"/>
        <v>SA1.DeslocamentoLinear</v>
      </c>
      <c r="J15" s="40" t="str">
        <f>IF(Tabela7[[#This Row],[R|W]]="D","-",CONCATENATE(IF(Tabela7[[#This Row],[R|W]]="W","5","0"),$B$1,Tabela7[[#This Row],[N]]))</f>
        <v>5211</v>
      </c>
      <c r="K15" s="2" t="s">
        <v>298</v>
      </c>
    </row>
    <row r="16" spans="1:11" x14ac:dyDescent="0.25">
      <c r="B16" s="2" t="s">
        <v>239</v>
      </c>
      <c r="C16" s="8" t="s">
        <v>203</v>
      </c>
      <c r="D16" s="2" t="s">
        <v>149</v>
      </c>
      <c r="E16" s="2" t="s">
        <v>129</v>
      </c>
      <c r="F16" s="5">
        <v>2</v>
      </c>
      <c r="G16" s="38" t="str">
        <f>CONCATENATE("IHM_",$C$1,"_",Tabela7[[#This Row],[TG]])</f>
        <v>IHM_SA1_EMX</v>
      </c>
      <c r="H16" s="39" t="str">
        <f>IF(Tabela7[[#This Row],[R|W]]="D","-",CONCATENATE(IF(Tabela7[[#This Row],[B|N]]="Inteira","40","00"),IF(Tabela7[[#This Row],[R|W]]="W","5","0"),$B$1,Tabela7[[#This Row],[N]]))</f>
        <v>405212</v>
      </c>
      <c r="I16" s="38" t="str">
        <f t="shared" si="0"/>
        <v>SA1.EntradaMaxima</v>
      </c>
      <c r="J16" s="40" t="str">
        <f>IF(Tabela7[[#This Row],[R|W]]="D","-",CONCATENATE(IF(Tabela7[[#This Row],[R|W]]="W","5","0"),$B$1,Tabela7[[#This Row],[N]]))</f>
        <v>5212</v>
      </c>
      <c r="K16" s="2" t="s">
        <v>298</v>
      </c>
    </row>
    <row r="17" spans="2:11" x14ac:dyDescent="0.25">
      <c r="B17" s="2" t="s">
        <v>238</v>
      </c>
      <c r="C17" s="8" t="s">
        <v>202</v>
      </c>
      <c r="D17" s="2" t="s">
        <v>149</v>
      </c>
      <c r="E17" s="2" t="s">
        <v>129</v>
      </c>
      <c r="F17" s="5">
        <v>3</v>
      </c>
      <c r="G17" s="38" t="str">
        <f>CONCATENATE("IHM_",$C$1,"_",Tabela7[[#This Row],[TG]])</f>
        <v>IHM_SA1_EMN</v>
      </c>
      <c r="H17" s="39" t="str">
        <f>IF(Tabela7[[#This Row],[R|W]]="D","-",CONCATENATE(IF(Tabela7[[#This Row],[B|N]]="Inteira","40","00"),IF(Tabela7[[#This Row],[R|W]]="W","5","0"),$B$1,Tabela7[[#This Row],[N]]))</f>
        <v>405213</v>
      </c>
      <c r="I17" s="38" t="str">
        <f t="shared" si="0"/>
        <v>SA1.EntradaMinima</v>
      </c>
      <c r="J17" s="40" t="str">
        <f>IF(Tabela7[[#This Row],[R|W]]="D","-",CONCATENATE(IF(Tabela7[[#This Row],[R|W]]="W","5","0"),$B$1,Tabela7[[#This Row],[N]]))</f>
        <v>5213</v>
      </c>
      <c r="K17" s="2" t="s">
        <v>298</v>
      </c>
    </row>
    <row r="18" spans="2:11" x14ac:dyDescent="0.25">
      <c r="B18" s="2" t="s">
        <v>166</v>
      </c>
      <c r="C18" s="8" t="s">
        <v>167</v>
      </c>
      <c r="D18" s="2" t="s">
        <v>149</v>
      </c>
      <c r="E18" s="2" t="s">
        <v>129</v>
      </c>
      <c r="F18" s="5">
        <v>4</v>
      </c>
      <c r="G18" s="8" t="str">
        <f>CONCATENATE("IHM_",$C$1,"_",Tabela7[[#This Row],[TG]])</f>
        <v>IHM_SA1_MX</v>
      </c>
      <c r="H18" s="2" t="str">
        <f>IF(Tabela7[[#This Row],[R|W]]="D","-",CONCATENATE(IF(Tabela7[[#This Row],[B|N]]="Inteira","40","00"),IF(Tabela7[[#This Row],[R|W]]="W","5","0"),$B$1,Tabela7[[#This Row],[N]]))</f>
        <v>405214</v>
      </c>
      <c r="I18" s="9" t="str">
        <f t="shared" si="0"/>
        <v>SA1.Maximo</v>
      </c>
      <c r="J18" t="str">
        <f>IF(Tabela7[[#This Row],[R|W]]="D","-",CONCATENATE(IF(Tabela7[[#This Row],[R|W]]="W","5","0"),$B$1,Tabela7[[#This Row],[N]]))</f>
        <v>5214</v>
      </c>
      <c r="K18" s="2" t="s">
        <v>298</v>
      </c>
    </row>
    <row r="19" spans="2:11" x14ac:dyDescent="0.25">
      <c r="B19" s="2" t="s">
        <v>184</v>
      </c>
      <c r="C19" s="8" t="s">
        <v>185</v>
      </c>
      <c r="D19" s="2" t="s">
        <v>149</v>
      </c>
      <c r="E19" s="2" t="s">
        <v>129</v>
      </c>
      <c r="F19" s="2">
        <v>5</v>
      </c>
      <c r="G19" s="8" t="str">
        <f>CONCATENATE("IHM_",$C$1,"_",Tabela7[[#This Row],[TG]])</f>
        <v>IHM_SA1_MED</v>
      </c>
      <c r="H19" s="2" t="str">
        <f>IF(Tabela7[[#This Row],[R|W]]="D","-",CONCATENATE(IF(Tabela7[[#This Row],[B|N]]="Inteira","40","00"),IF(Tabela7[[#This Row],[R|W]]="W","5","0"),$B$1,Tabela7[[#This Row],[N]]))</f>
        <v>405215</v>
      </c>
      <c r="I19" s="9" t="str">
        <f t="shared" si="0"/>
        <v>SA1.Medido</v>
      </c>
      <c r="J19" t="str">
        <f>IF(Tabela7[[#This Row],[R|W]]="D","-",CONCATENATE(IF(Tabela7[[#This Row],[R|W]]="W","5","0"),$B$1,Tabela7[[#This Row],[N]]))</f>
        <v>5215</v>
      </c>
      <c r="K19" s="2" t="s">
        <v>298</v>
      </c>
    </row>
    <row r="20" spans="2:11" x14ac:dyDescent="0.25">
      <c r="B20" s="2" t="s">
        <v>145</v>
      </c>
      <c r="C20" s="8" t="s">
        <v>169</v>
      </c>
      <c r="D20" s="2" t="s">
        <v>149</v>
      </c>
      <c r="E20" s="2" t="s">
        <v>129</v>
      </c>
      <c r="F20" s="2">
        <v>6</v>
      </c>
      <c r="G20" s="8" t="str">
        <f>CONCATENATE("IHM_",$C$1,"_",Tabela7[[#This Row],[TG]])</f>
        <v>IHM_SA1_MN</v>
      </c>
      <c r="H20" s="2" t="str">
        <f>IF(Tabela7[[#This Row],[R|W]]="D","-",CONCATENATE(IF(Tabela7[[#This Row],[B|N]]="Inteira","40","00"),IF(Tabela7[[#This Row],[R|W]]="W","5","0"),$B$1,Tabela7[[#This Row],[N]]))</f>
        <v>405216</v>
      </c>
      <c r="I20" s="9" t="str">
        <f t="shared" si="0"/>
        <v>SA1.Minimo</v>
      </c>
      <c r="J20" t="str">
        <f>IF(Tabela7[[#This Row],[R|W]]="D","-",CONCATENATE(IF(Tabela7[[#This Row],[R|W]]="W","5","0"),$B$1,Tabela7[[#This Row],[N]]))</f>
        <v>5216</v>
      </c>
      <c r="K20" s="2" t="s">
        <v>298</v>
      </c>
    </row>
    <row r="21" spans="2:11" x14ac:dyDescent="0.25">
      <c r="B21" s="2" t="s">
        <v>241</v>
      </c>
      <c r="C21" s="8" t="s">
        <v>207</v>
      </c>
      <c r="D21" s="2" t="s">
        <v>149</v>
      </c>
      <c r="E21" s="2" t="s">
        <v>129</v>
      </c>
      <c r="F21" s="2">
        <v>7</v>
      </c>
      <c r="G21" s="38" t="str">
        <f>CONCATENATE("IHM_",$C$1,"_",Tabela7[[#This Row],[TG]])</f>
        <v>IHM_SA1_SMX</v>
      </c>
      <c r="H21" s="39" t="str">
        <f>IF(Tabela7[[#This Row],[R|W]]="D","-",CONCATENATE(IF(Tabela7[[#This Row],[B|N]]="Inteira","40","00"),IF(Tabela7[[#This Row],[R|W]]="W","5","0"),$B$1,Tabela7[[#This Row],[N]]))</f>
        <v>405217</v>
      </c>
      <c r="I21" s="38" t="str">
        <f t="shared" si="0"/>
        <v>SA1.SaidaMaxima</v>
      </c>
      <c r="J21" s="40" t="str">
        <f>IF(Tabela7[[#This Row],[R|W]]="D","-",CONCATENATE(IF(Tabela7[[#This Row],[R|W]]="W","5","0"),$B$1,Tabela7[[#This Row],[N]]))</f>
        <v>5217</v>
      </c>
      <c r="K21" s="2" t="s">
        <v>298</v>
      </c>
    </row>
    <row r="22" spans="2:11" x14ac:dyDescent="0.25">
      <c r="B22" s="2" t="s">
        <v>240</v>
      </c>
      <c r="C22" s="8" t="s">
        <v>206</v>
      </c>
      <c r="D22" s="2" t="s">
        <v>149</v>
      </c>
      <c r="E22" s="2" t="s">
        <v>129</v>
      </c>
      <c r="F22" s="2">
        <v>8</v>
      </c>
      <c r="G22" s="38" t="str">
        <f>CONCATENATE("IHM_",$C$1,"_",Tabela7[[#This Row],[TG]])</f>
        <v>IHM_SA1_SMN</v>
      </c>
      <c r="H22" s="39" t="str">
        <f>IF(Tabela7[[#This Row],[R|W]]="D","-",CONCATENATE(IF(Tabela7[[#This Row],[B|N]]="Inteira","40","00"),IF(Tabela7[[#This Row],[R|W]]="W","5","0"),$B$1,Tabela7[[#This Row],[N]]))</f>
        <v>405218</v>
      </c>
      <c r="I22" s="38" t="str">
        <f t="shared" si="0"/>
        <v>SA1.SaidaMinima</v>
      </c>
      <c r="J22" s="40" t="str">
        <f>IF(Tabela7[[#This Row],[R|W]]="D","-",CONCATENATE(IF(Tabela7[[#This Row],[R|W]]="W","5","0"),$B$1,Tabela7[[#This Row],[N]]))</f>
        <v>5218</v>
      </c>
      <c r="K22" s="2" t="s">
        <v>298</v>
      </c>
    </row>
    <row r="23" spans="2:11" x14ac:dyDescent="0.25">
      <c r="B23" s="2" t="s">
        <v>171</v>
      </c>
      <c r="C23" s="8" t="s">
        <v>172</v>
      </c>
      <c r="D23" s="2" t="s">
        <v>149</v>
      </c>
      <c r="E23" s="2" t="s">
        <v>129</v>
      </c>
      <c r="F23" s="2">
        <v>9</v>
      </c>
      <c r="G23" s="38" t="str">
        <f>CONCATENATE("IHM_",$C$1,"_",Tabela7[[#This Row],[TG]])</f>
        <v>IHM_SA1_TM</v>
      </c>
      <c r="H23" s="39" t="str">
        <f>IF(Tabela7[[#This Row],[R|W]]="D","-",CONCATENATE(IF(Tabela7[[#This Row],[B|N]]="Inteira","40","00"),IF(Tabela7[[#This Row],[R|W]]="W","5","0"),$B$1,Tabela7[[#This Row],[N]]))</f>
        <v>405219</v>
      </c>
      <c r="I23" s="38" t="str">
        <f t="shared" si="0"/>
        <v>SA1.Tempo</v>
      </c>
      <c r="J23" s="40" t="str">
        <f>IF(Tabela7[[#This Row],[R|W]]="D","-",CONCATENATE(IF(Tabela7[[#This Row],[R|W]]="W","5","0"),$B$1,Tabela7[[#This Row],[N]]))</f>
        <v>5219</v>
      </c>
      <c r="K23" s="2" t="s">
        <v>298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886DC-CE97-427F-BF13-DD6E22A766DC}">
  <dimension ref="A1:R32"/>
  <sheetViews>
    <sheetView zoomScale="190" zoomScaleNormal="190" workbookViewId="0">
      <selection activeCell="F14" sqref="F14"/>
    </sheetView>
  </sheetViews>
  <sheetFormatPr defaultColWidth="9.140625" defaultRowHeight="15" x14ac:dyDescent="0.25"/>
  <cols>
    <col min="1" max="1" width="3.140625" style="16" bestFit="1" customWidth="1"/>
    <col min="2" max="2" width="6.7109375" style="16" bestFit="1" customWidth="1"/>
    <col min="3" max="3" width="20.85546875" style="10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14.7109375" style="16" bestFit="1" customWidth="1"/>
    <col min="8" max="8" width="10.5703125" style="16" bestFit="1" customWidth="1"/>
    <col min="9" max="9" width="24.85546875" style="10" bestFit="1" customWidth="1"/>
    <col min="10" max="10" width="11.140625" style="16" bestFit="1" customWidth="1"/>
    <col min="11" max="11" width="3.140625" style="16" bestFit="1" customWidth="1"/>
    <col min="12" max="12" width="5.7109375" style="16" bestFit="1" customWidth="1"/>
    <col min="13" max="13" width="7.28515625" style="16" bestFit="1" customWidth="1"/>
    <col min="14" max="14" width="7.85546875" style="16" bestFit="1" customWidth="1"/>
    <col min="15" max="15" width="4.85546875" style="16" bestFit="1" customWidth="1"/>
    <col min="16" max="16" width="8.5703125" style="16" bestFit="1" customWidth="1"/>
    <col min="17" max="17" width="7.5703125" style="16" bestFit="1" customWidth="1"/>
    <col min="18" max="18" width="28.5703125" style="10" bestFit="1" customWidth="1"/>
    <col min="19" max="16384" width="9.140625" style="16"/>
  </cols>
  <sheetData>
    <row r="1" spans="1:18" x14ac:dyDescent="0.25">
      <c r="A1" s="15"/>
      <c r="B1" s="16">
        <v>31</v>
      </c>
      <c r="C1" s="10" t="s">
        <v>186</v>
      </c>
      <c r="I1" s="17"/>
      <c r="K1" s="15"/>
      <c r="R1" s="17"/>
    </row>
    <row r="2" spans="1:18" s="10" customFormat="1" ht="16.5" thickBot="1" x14ac:dyDescent="0.3">
      <c r="B2" s="11" t="s">
        <v>187</v>
      </c>
      <c r="C2" s="11" t="s">
        <v>125</v>
      </c>
      <c r="D2" s="11" t="s">
        <v>2</v>
      </c>
      <c r="E2" s="11" t="s">
        <v>3</v>
      </c>
      <c r="F2" s="13" t="s">
        <v>126</v>
      </c>
      <c r="G2" s="14" t="s">
        <v>0</v>
      </c>
      <c r="H2" s="11" t="s">
        <v>141</v>
      </c>
      <c r="I2" s="11" t="s">
        <v>142</v>
      </c>
      <c r="J2" s="14" t="s">
        <v>143</v>
      </c>
    </row>
    <row r="3" spans="1:18" x14ac:dyDescent="0.25">
      <c r="B3" s="12" t="s">
        <v>148</v>
      </c>
      <c r="C3" s="10" t="s">
        <v>133</v>
      </c>
      <c r="D3" s="10" t="s">
        <v>149</v>
      </c>
      <c r="E3" s="12" t="s">
        <v>150</v>
      </c>
      <c r="F3" s="18"/>
      <c r="G3" s="16" t="str">
        <f>CONCATENATE("IHM_",$C$1,"_",Tabela6[[#This Row],[CLP]])</f>
        <v>IHM_CC1_MOD</v>
      </c>
      <c r="H3" s="12" t="str">
        <f>IF(Tabela6[[#This Row],[R|W]]="D","-",CONCATENATE(IF(Tabela6[[#This Row],[B|N]]="Inteira","40","00"),IF(Tabela6[[#This Row],[R|W]]="W","5","0"),$B$1,Tabela6[[#This Row],[N]]))</f>
        <v>-</v>
      </c>
      <c r="I3" s="10" t="str">
        <f>CONCATENATE($C$1,".",Tabela6[[#This Row],[EV]])</f>
        <v>CC1.Modelo</v>
      </c>
      <c r="J3" s="12" t="str">
        <f>IF(Tabela6[[#This Row],[R|W]]="D","-",CONCATENATE(IF(Tabela6[[#This Row],[R|W]]="W","5","0"),$B$1,Tabela6[[#This Row],[N]]))</f>
        <v>-</v>
      </c>
    </row>
    <row r="4" spans="1:18" s="26" customFormat="1" x14ac:dyDescent="0.25">
      <c r="B4" s="12" t="s">
        <v>146</v>
      </c>
      <c r="C4" s="10" t="s">
        <v>147</v>
      </c>
      <c r="D4" s="10" t="s">
        <v>154</v>
      </c>
      <c r="E4" s="12" t="s">
        <v>150</v>
      </c>
      <c r="F4" s="18" t="s">
        <v>151</v>
      </c>
      <c r="G4" s="23" t="str">
        <f>CONCATENATE("IHM_",$C$1,"_",Tabela6[[#This Row],[CLP]])</f>
        <v>IHM_CC1_SV</v>
      </c>
      <c r="H4" s="24" t="str">
        <f>IF(Tabela6[[#This Row],[R|W]]="D","-",CONCATENATE(IF(Tabela6[[#This Row],[B|N]]="Inteira","40","00"),IF(Tabela6[[#This Row],[R|W]]="W","5","0"),$B$1,Tabela6[[#This Row],[N]]))</f>
        <v>-</v>
      </c>
      <c r="I4" s="25" t="str">
        <f>CONCATENATE($C$1,".",Tabela6[[#This Row],[EV]])</f>
        <v>CC1.Salvar</v>
      </c>
      <c r="J4" s="24" t="str">
        <f>IF(Tabela6[[#This Row],[R|W]]="D","-",CONCATENATE(IF(Tabela6[[#This Row],[R|W]]="W","5","0"),$B$1,Tabela6[[#This Row],[N]]))</f>
        <v>-</v>
      </c>
      <c r="R4" s="28"/>
    </row>
    <row r="5" spans="1:18" s="37" customFormat="1" x14ac:dyDescent="0.25">
      <c r="B5" s="32" t="s">
        <v>231</v>
      </c>
      <c r="C5" s="33" t="s">
        <v>229</v>
      </c>
      <c r="D5" s="33" t="s">
        <v>154</v>
      </c>
      <c r="E5" s="32" t="s">
        <v>132</v>
      </c>
      <c r="F5" s="32">
        <v>1</v>
      </c>
      <c r="G5" s="34" t="str">
        <f>CONCATENATE("IHM_",$C$1,"_",Tabela6[[#This Row],[CLP]])</f>
        <v>IHM_CC1_AP</v>
      </c>
      <c r="H5" s="35" t="str">
        <f>IF(Tabela6[[#This Row],[R|W]]="D","-",CONCATENATE(IF(Tabela6[[#This Row],[B|N]]="Inteira","40","00"),IF(Tabela6[[#This Row],[R|W]]="W","5","0"),$B$1,Tabela6[[#This Row],[N]]))</f>
        <v>000311</v>
      </c>
      <c r="I5" s="36" t="str">
        <f>CONCATENATE($C$1,".",Tabela6[[#This Row],[EV]])</f>
        <v>CC1.Aprovado</v>
      </c>
      <c r="J5" s="35" t="str">
        <f>IF(Tabela6[[#This Row],[R|W]]="D","-",CONCATENATE(IF(Tabela6[[#This Row],[R|W]]="W","5","0"),$B$1,Tabela6[[#This Row],[N]]))</f>
        <v>0311</v>
      </c>
      <c r="R5" s="33"/>
    </row>
    <row r="6" spans="1:18" s="37" customFormat="1" x14ac:dyDescent="0.25">
      <c r="B6" s="32" t="s">
        <v>232</v>
      </c>
      <c r="C6" s="33" t="s">
        <v>230</v>
      </c>
      <c r="D6" s="33" t="s">
        <v>154</v>
      </c>
      <c r="E6" s="32" t="s">
        <v>132</v>
      </c>
      <c r="F6" s="32">
        <v>2</v>
      </c>
      <c r="G6" s="34" t="str">
        <f>CONCATENATE("IHM_",$C$1,"_",Tabela6[[#This Row],[CLP]])</f>
        <v>IHM_CC1_RP</v>
      </c>
      <c r="H6" s="35" t="str">
        <f>IF(Tabela6[[#This Row],[R|W]]="D","-",CONCATENATE(IF(Tabela6[[#This Row],[B|N]]="Inteira","40","00"),IF(Tabela6[[#This Row],[R|W]]="W","5","0"),$B$1,Tabela6[[#This Row],[N]]))</f>
        <v>000312</v>
      </c>
      <c r="I6" s="36" t="str">
        <f>CONCATENATE($C$1,".",Tabela6[[#This Row],[EV]])</f>
        <v>CC1.Reprovado</v>
      </c>
      <c r="J6" s="35" t="str">
        <f>IF(Tabela6[[#This Row],[R|W]]="D","-",CONCATENATE(IF(Tabela6[[#This Row],[R|W]]="W","5","0"),$B$1,Tabela6[[#This Row],[N]]))</f>
        <v>0312</v>
      </c>
      <c r="R6" s="33"/>
    </row>
    <row r="7" spans="1:18" x14ac:dyDescent="0.25">
      <c r="B7" s="12" t="s">
        <v>156</v>
      </c>
      <c r="C7" s="19" t="s">
        <v>157</v>
      </c>
      <c r="D7" s="10" t="s">
        <v>154</v>
      </c>
      <c r="E7" s="12" t="s">
        <v>129</v>
      </c>
      <c r="F7" s="18">
        <v>1</v>
      </c>
      <c r="G7" s="16" t="str">
        <f>CONCATENATE("IHM_",$C$1,"_",Tabela6[[#This Row],[CLP]])</f>
        <v>IHM_CC1_TT</v>
      </c>
      <c r="H7" s="12" t="str">
        <f>IF(Tabela6[[#This Row],[R|W]]="D","-",CONCATENATE(IF(Tabela6[[#This Row],[B|N]]="Inteira","40","00"),IF(Tabela6[[#This Row],[R|W]]="W","5","0"),$B$1,Tabela6[[#This Row],[N]]))</f>
        <v>005311</v>
      </c>
      <c r="I7" s="10" t="str">
        <f>CONCATENATE($C$1,".",Tabela6[[#This Row],[EV]])</f>
        <v>CC1.Testar</v>
      </c>
      <c r="J7" s="12" t="str">
        <f>IF(Tabela6[[#This Row],[R|W]]="D","-",CONCATENATE(IF(Tabela6[[#This Row],[R|W]]="W","5","0"),$B$1,Tabela6[[#This Row],[N]]))</f>
        <v>5311</v>
      </c>
    </row>
    <row r="8" spans="1:18" x14ac:dyDescent="0.25">
      <c r="B8" s="27" t="s">
        <v>175</v>
      </c>
      <c r="C8" s="28" t="s">
        <v>176</v>
      </c>
      <c r="D8" s="28" t="s">
        <v>154</v>
      </c>
      <c r="E8" s="27" t="s">
        <v>129</v>
      </c>
      <c r="F8" s="29">
        <v>2</v>
      </c>
      <c r="G8" s="26" t="str">
        <f>CONCATENATE("IHM_",$C$1,"_",Tabela6[[#This Row],[CLP]])</f>
        <v>IHM_CC1_ZR</v>
      </c>
      <c r="H8" s="27" t="str">
        <f>IF(Tabela6[[#This Row],[R|W]]="D","-",CONCATENATE(IF(Tabela6[[#This Row],[B|N]]="Inteira","40","00"),IF(Tabela6[[#This Row],[R|W]]="W","5","0"),$B$1,Tabela6[[#This Row],[N]]))</f>
        <v>005312</v>
      </c>
      <c r="I8" s="28" t="str">
        <f>CONCATENATE($C$1,".",Tabela6[[#This Row],[EV]])</f>
        <v>CC1.Zerar</v>
      </c>
      <c r="J8" s="27" t="str">
        <f>IF(Tabela6[[#This Row],[R|W]]="D","-",CONCATENATE(IF(Tabela6[[#This Row],[R|W]]="W","5","0"),$B$1,Tabela6[[#This Row],[N]]))</f>
        <v>5312</v>
      </c>
    </row>
    <row r="9" spans="1:18" x14ac:dyDescent="0.25">
      <c r="B9" s="12" t="s">
        <v>152</v>
      </c>
      <c r="C9" s="10" t="s">
        <v>153</v>
      </c>
      <c r="D9" s="10" t="s">
        <v>154</v>
      </c>
      <c r="E9" s="12" t="s">
        <v>129</v>
      </c>
      <c r="F9" s="18">
        <v>3</v>
      </c>
      <c r="G9" s="16" t="str">
        <f>CONCATENATE("IHM_",$C$1,"_",Tabela6[[#This Row],[CLP]])</f>
        <v>IHM_CC1_CLB</v>
      </c>
      <c r="H9" s="12" t="str">
        <f>IF(Tabela6[[#This Row],[R|W]]="D","-",CONCATENATE(IF(Tabela6[[#This Row],[B|N]]="Inteira","40","00"),IF(Tabela6[[#This Row],[R|W]]="W","5","0"),$B$1,Tabela6[[#This Row],[N]]))</f>
        <v>005313</v>
      </c>
      <c r="I9" s="10" t="str">
        <f>CONCATENATE($C$1,".",Tabela6[[#This Row],[EV]])</f>
        <v>CC1.Calibrar</v>
      </c>
      <c r="J9" s="12" t="str">
        <f>IF(Tabela6[[#This Row],[R|W]]="D","-",CONCATENATE(IF(Tabela6[[#This Row],[R|W]]="W","5","0"),$B$1,Tabela6[[#This Row],[N]]))</f>
        <v>5313</v>
      </c>
    </row>
    <row r="10" spans="1:18" x14ac:dyDescent="0.25">
      <c r="B10" s="12" t="s">
        <v>177</v>
      </c>
      <c r="C10" s="10" t="s">
        <v>178</v>
      </c>
      <c r="D10" s="10" t="s">
        <v>149</v>
      </c>
      <c r="E10" s="12" t="s">
        <v>132</v>
      </c>
      <c r="F10" s="18">
        <v>1</v>
      </c>
      <c r="G10" s="16" t="str">
        <f>CONCATENATE("IHM_",$C$1,"_",Tabela6[[#This Row],[CLP]])</f>
        <v>IHM_CC1_AI</v>
      </c>
      <c r="H10" s="12" t="str">
        <f>IF(Tabela6[[#This Row],[R|W]]="D","-",CONCATENATE(IF(Tabela6[[#This Row],[B|N]]="Inteira","40","00"),IF(Tabela6[[#This Row],[R|W]]="W","5","0"),$B$1,Tabela6[[#This Row],[N]]))</f>
        <v>400311</v>
      </c>
      <c r="I10" s="10" t="str">
        <f>CONCATENATE($C$1,".",Tabela6[[#This Row],[EV]])</f>
        <v>CC1.SensorEntrada</v>
      </c>
      <c r="J10" s="12" t="str">
        <f>IF(Tabela6[[#This Row],[R|W]]="D","-",CONCATENATE(IF(Tabela6[[#This Row],[R|W]]="W","5","0"),$B$1,Tabela6[[#This Row],[N]]))</f>
        <v>0311</v>
      </c>
    </row>
    <row r="11" spans="1:18" x14ac:dyDescent="0.25">
      <c r="B11" s="12" t="s">
        <v>159</v>
      </c>
      <c r="C11" s="10" t="s">
        <v>179</v>
      </c>
      <c r="D11" s="10" t="s">
        <v>149</v>
      </c>
      <c r="E11" s="12" t="s">
        <v>132</v>
      </c>
      <c r="F11" s="18">
        <v>2</v>
      </c>
      <c r="G11" s="16" t="str">
        <f>CONCATENATE("IHM_",$C$1,"_",Tabela6[[#This Row],[CLP]])</f>
        <v>IHM_CC1_SN</v>
      </c>
      <c r="H11" s="12" t="str">
        <f>IF(Tabela6[[#This Row],[R|W]]="D","-",CONCATENATE(IF(Tabela6[[#This Row],[B|N]]="Inteira","40","00"),IF(Tabela6[[#This Row],[R|W]]="W","5","0"),$B$1,Tabela6[[#This Row],[N]]))</f>
        <v>400312</v>
      </c>
      <c r="I11" s="10" t="str">
        <f>CONCATENATE($C$1,".",Tabela6[[#This Row],[EV]])</f>
        <v>CC1.SensorSaida</v>
      </c>
      <c r="J11" s="12" t="str">
        <f>IF(Tabela6[[#This Row],[R|W]]="D","-",CONCATENATE(IF(Tabela6[[#This Row],[R|W]]="W","5","0"),$B$1,Tabela6[[#This Row],[N]]))</f>
        <v>0312</v>
      </c>
    </row>
    <row r="12" spans="1:18" x14ac:dyDescent="0.25">
      <c r="B12" s="12" t="s">
        <v>180</v>
      </c>
      <c r="C12" s="10" t="s">
        <v>181</v>
      </c>
      <c r="D12" s="10" t="s">
        <v>149</v>
      </c>
      <c r="E12" s="12" t="s">
        <v>132</v>
      </c>
      <c r="F12" s="18">
        <v>3</v>
      </c>
      <c r="G12" s="16" t="str">
        <f>CONCATENATE("IHM_",$C$1,"_",Tabela6[[#This Row],[CLP]])</f>
        <v>IHM_CC1_PKE</v>
      </c>
      <c r="H12" s="12" t="str">
        <f>IF(Tabela6[[#This Row],[R|W]]="D","-",CONCATENATE(IF(Tabela6[[#This Row],[B|N]]="Inteira","40","00"),IF(Tabela6[[#This Row],[R|W]]="W","5","0"),$B$1,Tabela6[[#This Row],[N]]))</f>
        <v>400313</v>
      </c>
      <c r="I12" s="10" t="str">
        <f>CONCATENATE($C$1,".",Tabela6[[#This Row],[EV]])</f>
        <v>CC1.PicoEntrada</v>
      </c>
      <c r="J12" s="12" t="str">
        <f>IF(Tabela6[[#This Row],[R|W]]="D","-",CONCATENATE(IF(Tabela6[[#This Row],[R|W]]="W","5","0"),$B$1,Tabela6[[#This Row],[N]]))</f>
        <v>0313</v>
      </c>
    </row>
    <row r="13" spans="1:18" x14ac:dyDescent="0.25">
      <c r="B13" s="12" t="s">
        <v>182</v>
      </c>
      <c r="C13" s="10" t="s">
        <v>183</v>
      </c>
      <c r="D13" s="10" t="s">
        <v>149</v>
      </c>
      <c r="E13" s="12" t="s">
        <v>132</v>
      </c>
      <c r="F13" s="18">
        <v>4</v>
      </c>
      <c r="G13" s="16" t="str">
        <f>CONCATENATE("IHM_",$C$1,"_",Tabela6[[#This Row],[CLP]])</f>
        <v>IHM_CC1_PKS</v>
      </c>
      <c r="H13" s="12" t="str">
        <f>IF(Tabela6[[#This Row],[R|W]]="D","-",CONCATENATE(IF(Tabela6[[#This Row],[B|N]]="Inteira","40","00"),IF(Tabela6[[#This Row],[R|W]]="W","5","0"),$B$1,Tabela6[[#This Row],[N]]))</f>
        <v>400314</v>
      </c>
      <c r="I13" s="10" t="str">
        <f>CONCATENATE($C$1,".",Tabela6[[#This Row],[EV]])</f>
        <v>CC1.PicoSaida</v>
      </c>
      <c r="J13" s="12" t="str">
        <f>IF(Tabela6[[#This Row],[R|W]]="D","-",CONCATENATE(IF(Tabela6[[#This Row],[R|W]]="W","5","0"),$B$1,Tabela6[[#This Row],[N]]))</f>
        <v>0314</v>
      </c>
    </row>
    <row r="14" spans="1:18" x14ac:dyDescent="0.25">
      <c r="B14" s="12" t="s">
        <v>204</v>
      </c>
      <c r="C14" s="10" t="s">
        <v>202</v>
      </c>
      <c r="D14" s="10" t="s">
        <v>149</v>
      </c>
      <c r="E14" s="12" t="s">
        <v>132</v>
      </c>
      <c r="F14" s="12">
        <v>5</v>
      </c>
      <c r="G14" s="23" t="str">
        <f>CONCATENATE("IHM_",$C$1,"_",Tabela6[[#This Row],[CLP]])</f>
        <v>IHM_CC1_Emin</v>
      </c>
      <c r="H14" s="24" t="str">
        <f>IF(Tabela6[[#This Row],[R|W]]="D","-",CONCATENATE(IF(Tabela6[[#This Row],[B|N]]="Inteira","40","00"),IF(Tabela6[[#This Row],[R|W]]="W","5","0"),$B$1,Tabela6[[#This Row],[N]]))</f>
        <v>400315</v>
      </c>
      <c r="I14" s="25" t="str">
        <f>CONCATENATE($C$1,".",Tabela6[[#This Row],[EV]])</f>
        <v>CC1.EntradaMinima</v>
      </c>
      <c r="J14" s="24" t="str">
        <f>IF(Tabela6[[#This Row],[R|W]]="D","-",CONCATENATE(IF(Tabela6[[#This Row],[R|W]]="W","5","0"),$B$1,Tabela6[[#This Row],[N]]))</f>
        <v>0315</v>
      </c>
    </row>
    <row r="15" spans="1:18" x14ac:dyDescent="0.25">
      <c r="B15" s="12" t="s">
        <v>205</v>
      </c>
      <c r="C15" s="10" t="s">
        <v>203</v>
      </c>
      <c r="D15" s="10" t="s">
        <v>149</v>
      </c>
      <c r="E15" s="12" t="s">
        <v>132</v>
      </c>
      <c r="F15" s="12">
        <v>6</v>
      </c>
      <c r="G15" s="23" t="str">
        <f>CONCATENATE("IHM_",$C$1,"_",Tabela6[[#This Row],[CLP]])</f>
        <v>IHM_CC1_Emax</v>
      </c>
      <c r="H15" s="24" t="str">
        <f>IF(Tabela6[[#This Row],[R|W]]="D","-",CONCATENATE(IF(Tabela6[[#This Row],[B|N]]="Inteira","40","00"),IF(Tabela6[[#This Row],[R|W]]="W","5","0"),$B$1,Tabela6[[#This Row],[N]]))</f>
        <v>400316</v>
      </c>
      <c r="I15" s="25" t="str">
        <f>CONCATENATE($C$1,".",Tabela6[[#This Row],[EV]])</f>
        <v>CC1.EntradaMaxima</v>
      </c>
      <c r="J15" s="24" t="str">
        <f>IF(Tabela6[[#This Row],[R|W]]="D","-",CONCATENATE(IF(Tabela6[[#This Row],[R|W]]="W","5","0"),$B$1,Tabela6[[#This Row],[N]]))</f>
        <v>0316</v>
      </c>
    </row>
    <row r="16" spans="1:18" x14ac:dyDescent="0.25">
      <c r="B16" s="12" t="s">
        <v>208</v>
      </c>
      <c r="C16" s="10" t="s">
        <v>206</v>
      </c>
      <c r="D16" s="10" t="s">
        <v>149</v>
      </c>
      <c r="E16" s="12" t="s">
        <v>132</v>
      </c>
      <c r="F16" s="12">
        <v>7</v>
      </c>
      <c r="G16" s="23" t="str">
        <f>CONCATENATE("IHM_",$C$1,"_",Tabela6[[#This Row],[CLP]])</f>
        <v>IHM_CC1_Smin</v>
      </c>
      <c r="H16" s="24" t="str">
        <f>IF(Tabela6[[#This Row],[R|W]]="D","-",CONCATENATE(IF(Tabela6[[#This Row],[B|N]]="Inteira","40","00"),IF(Tabela6[[#This Row],[R|W]]="W","5","0"),$B$1,Tabela6[[#This Row],[N]]))</f>
        <v>400317</v>
      </c>
      <c r="I16" s="25" t="str">
        <f>CONCATENATE($C$1,".",Tabela6[[#This Row],[EV]])</f>
        <v>CC1.SaidaMinima</v>
      </c>
      <c r="J16" s="24" t="str">
        <f>IF(Tabela6[[#This Row],[R|W]]="D","-",CONCATENATE(IF(Tabela6[[#This Row],[R|W]]="W","5","0"),$B$1,Tabela6[[#This Row],[N]]))</f>
        <v>0317</v>
      </c>
    </row>
    <row r="17" spans="1:10" x14ac:dyDescent="0.25">
      <c r="B17" s="12" t="s">
        <v>209</v>
      </c>
      <c r="C17" s="10" t="s">
        <v>207</v>
      </c>
      <c r="D17" s="10" t="s">
        <v>149</v>
      </c>
      <c r="E17" s="12" t="s">
        <v>132</v>
      </c>
      <c r="F17" s="12">
        <v>8</v>
      </c>
      <c r="G17" s="23" t="str">
        <f>CONCATENATE("IHM_",$C$1,"_",Tabela6[[#This Row],[CLP]])</f>
        <v>IHM_CC1_Smax</v>
      </c>
      <c r="H17" s="24" t="str">
        <f>IF(Tabela6[[#This Row],[R|W]]="D","-",CONCATENATE(IF(Tabela6[[#This Row],[B|N]]="Inteira","40","00"),IF(Tabela6[[#This Row],[R|W]]="W","5","0"),$B$1,Tabela6[[#This Row],[N]]))</f>
        <v>400318</v>
      </c>
      <c r="I17" s="25" t="str">
        <f>CONCATENATE($C$1,".",Tabela6[[#This Row],[EV]])</f>
        <v>CC1.SaidaMaxima</v>
      </c>
      <c r="J17" s="24" t="str">
        <f>IF(Tabela6[[#This Row],[R|W]]="D","-",CONCATENATE(IF(Tabela6[[#This Row],[R|W]]="W","5","0"),$B$1,Tabela6[[#This Row],[N]]))</f>
        <v>0318</v>
      </c>
    </row>
    <row r="18" spans="1:10" x14ac:dyDescent="0.25">
      <c r="B18" s="12" t="s">
        <v>199</v>
      </c>
      <c r="C18" s="10" t="s">
        <v>201</v>
      </c>
      <c r="D18" s="10" t="s">
        <v>149</v>
      </c>
      <c r="E18" s="12" t="s">
        <v>129</v>
      </c>
      <c r="F18" s="12">
        <v>6</v>
      </c>
      <c r="G18" s="23" t="str">
        <f>CONCATENATE("IHM_",$C$1,"_",Tabela6[[#This Row],[CLP]])</f>
        <v>IHM_CC1_DA</v>
      </c>
      <c r="H18" s="24" t="str">
        <f>IF(Tabela6[[#This Row],[R|W]]="D","-",CONCATENATE(IF(Tabela6[[#This Row],[B|N]]="Inteira","40","00"),IF(Tabela6[[#This Row],[R|W]]="W","5","0"),$B$1,Tabela6[[#This Row],[N]]))</f>
        <v>405316</v>
      </c>
      <c r="I18" s="25" t="str">
        <f>CONCATENATE($C$1,".",Tabela6[[#This Row],[EV]])</f>
        <v>CC1.DeslocamentoAngular</v>
      </c>
      <c r="J18" s="24" t="str">
        <f>IF(Tabela6[[#This Row],[R|W]]="D","-",CONCATENATE(IF(Tabela6[[#This Row],[R|W]]="W","5","0"),$B$1,Tabela6[[#This Row],[N]]))</f>
        <v>5316</v>
      </c>
    </row>
    <row r="19" spans="1:10" x14ac:dyDescent="0.25">
      <c r="B19" s="12" t="s">
        <v>198</v>
      </c>
      <c r="C19" s="10" t="s">
        <v>200</v>
      </c>
      <c r="D19" s="10" t="s">
        <v>149</v>
      </c>
      <c r="E19" s="12" t="s">
        <v>129</v>
      </c>
      <c r="F19" s="12">
        <v>5</v>
      </c>
      <c r="G19" s="23" t="str">
        <f>CONCATENATE("IHM_",$C$1,"_",Tabela6[[#This Row],[CLP]])</f>
        <v>IHM_CC1_DL</v>
      </c>
      <c r="H19" s="24" t="str">
        <f>IF(Tabela6[[#This Row],[R|W]]="D","-",CONCATENATE(IF(Tabela6[[#This Row],[B|N]]="Inteira","40","00"),IF(Tabela6[[#This Row],[R|W]]="W","5","0"),$B$1,Tabela6[[#This Row],[N]]))</f>
        <v>405315</v>
      </c>
      <c r="I19" s="25" t="str">
        <f>CONCATENATE($C$1,".",Tabela6[[#This Row],[EV]])</f>
        <v>CC1.DeslocamentoLinear</v>
      </c>
      <c r="J19" s="24" t="str">
        <f>IF(Tabela6[[#This Row],[R|W]]="D","-",CONCATENATE(IF(Tabela6[[#This Row],[R|W]]="W","5","0"),$B$1,Tabela6[[#This Row],[N]]))</f>
        <v>5315</v>
      </c>
    </row>
    <row r="20" spans="1:10" x14ac:dyDescent="0.25">
      <c r="B20" s="12" t="s">
        <v>166</v>
      </c>
      <c r="C20" s="10" t="s">
        <v>167</v>
      </c>
      <c r="D20" s="10" t="s">
        <v>149</v>
      </c>
      <c r="E20" s="12" t="s">
        <v>129</v>
      </c>
      <c r="F20" s="18">
        <v>3</v>
      </c>
      <c r="G20" s="16" t="str">
        <f>CONCATENATE("IHM_",$C$1,"_",Tabela6[[#This Row],[CLP]])</f>
        <v>IHM_CC1_MX</v>
      </c>
      <c r="H20" s="12" t="str">
        <f>IF(Tabela6[[#This Row],[R|W]]="D","-",CONCATENATE(IF(Tabela6[[#This Row],[B|N]]="Inteira","40","00"),IF(Tabela6[[#This Row],[R|W]]="W","5","0"),$B$1,Tabela6[[#This Row],[N]]))</f>
        <v>405313</v>
      </c>
      <c r="I20" s="10" t="str">
        <f>CONCATENATE($C$1,".",Tabela6[[#This Row],[EV]])</f>
        <v>CC1.Maximo</v>
      </c>
      <c r="J20" s="12" t="str">
        <f>IF(Tabela6[[#This Row],[R|W]]="D","-",CONCATENATE(IF(Tabela6[[#This Row],[R|W]]="W","5","0"),$B$1,Tabela6[[#This Row],[N]]))</f>
        <v>5313</v>
      </c>
    </row>
    <row r="21" spans="1:10" x14ac:dyDescent="0.25">
      <c r="B21" s="12" t="s">
        <v>184</v>
      </c>
      <c r="C21" s="10" t="s">
        <v>185</v>
      </c>
      <c r="D21" s="10" t="s">
        <v>149</v>
      </c>
      <c r="E21" s="12" t="s">
        <v>129</v>
      </c>
      <c r="F21" s="18">
        <v>1</v>
      </c>
      <c r="G21" s="16" t="str">
        <f>CONCATENATE("IHM_",$C$1,"_",Tabela6[[#This Row],[CLP]])</f>
        <v>IHM_CC1_MED</v>
      </c>
      <c r="H21" s="12" t="str">
        <f>IF(Tabela6[[#This Row],[R|W]]="D","-",CONCATENATE(IF(Tabela6[[#This Row],[B|N]]="Inteira","40","00"),IF(Tabela6[[#This Row],[R|W]]="W","5","0"),$B$1,Tabela6[[#This Row],[N]]))</f>
        <v>405311</v>
      </c>
      <c r="I21" s="10" t="str">
        <f>CONCATENATE($C$1,".",Tabela6[[#This Row],[EV]])</f>
        <v>CC1.Medido</v>
      </c>
      <c r="J21" s="12" t="str">
        <f>IF(Tabela6[[#This Row],[R|W]]="D","-",CONCATENATE(IF(Tabela6[[#This Row],[R|W]]="W","5","0"),$B$1,Tabela6[[#This Row],[N]]))</f>
        <v>5311</v>
      </c>
    </row>
    <row r="22" spans="1:10" x14ac:dyDescent="0.25">
      <c r="A22" s="15"/>
      <c r="B22" s="12" t="s">
        <v>145</v>
      </c>
      <c r="C22" s="10" t="s">
        <v>169</v>
      </c>
      <c r="D22" s="10" t="s">
        <v>149</v>
      </c>
      <c r="E22" s="12" t="s">
        <v>129</v>
      </c>
      <c r="F22" s="18">
        <v>2</v>
      </c>
      <c r="G22" s="16" t="str">
        <f>CONCATENATE("IHM_",$C$1,"_",Tabela6[[#This Row],[CLP]])</f>
        <v>IHM_CC1_MN</v>
      </c>
      <c r="H22" s="12" t="str">
        <f>IF(Tabela6[[#This Row],[R|W]]="D","-",CONCATENATE(IF(Tabela6[[#This Row],[B|N]]="Inteira","40","00"),IF(Tabela6[[#This Row],[R|W]]="W","5","0"),$B$1,Tabela6[[#This Row],[N]]))</f>
        <v>405312</v>
      </c>
      <c r="I22" s="10" t="str">
        <f>CONCATENATE($C$1,".",Tabela6[[#This Row],[EV]])</f>
        <v>CC1.Minimo</v>
      </c>
      <c r="J22" s="12" t="str">
        <f>IF(Tabela6[[#This Row],[R|W]]="D","-",CONCATENATE(IF(Tabela6[[#This Row],[R|W]]="W","5","0"),$B$1,Tabela6[[#This Row],[N]]))</f>
        <v>5312</v>
      </c>
    </row>
    <row r="23" spans="1:10" x14ac:dyDescent="0.25">
      <c r="B23" s="12" t="s">
        <v>171</v>
      </c>
      <c r="C23" s="10" t="s">
        <v>172</v>
      </c>
      <c r="D23" s="10" t="s">
        <v>149</v>
      </c>
      <c r="E23" s="12" t="s">
        <v>129</v>
      </c>
      <c r="F23" s="18">
        <v>4</v>
      </c>
      <c r="G23" s="16" t="str">
        <f>CONCATENATE("IHM_",$C$1,"_",Tabela6[[#This Row],[CLP]])</f>
        <v>IHM_CC1_TM</v>
      </c>
      <c r="H23" s="12" t="str">
        <f>IF(Tabela6[[#This Row],[R|W]]="D","-",CONCATENATE(IF(Tabela6[[#This Row],[B|N]]="Inteira","40","00"),IF(Tabela6[[#This Row],[R|W]]="W","5","0"),$B$1,Tabela6[[#This Row],[N]]))</f>
        <v>405314</v>
      </c>
      <c r="I23" s="10" t="str">
        <f>CONCATENATE($C$1,".",Tabela6[[#This Row],[EV]])</f>
        <v>CC1.Tempo</v>
      </c>
      <c r="J23" s="12" t="str">
        <f>IF(Tabela6[[#This Row],[R|W]]="D","-",CONCATENATE(IF(Tabela6[[#This Row],[R|W]]="W","5","0"),$B$1,Tabela6[[#This Row],[N]]))</f>
        <v>5314</v>
      </c>
    </row>
    <row r="24" spans="1:10" x14ac:dyDescent="0.25">
      <c r="I24" s="17"/>
    </row>
    <row r="25" spans="1:10" x14ac:dyDescent="0.25">
      <c r="I25" s="17"/>
    </row>
    <row r="26" spans="1:10" x14ac:dyDescent="0.25">
      <c r="I26" s="17"/>
    </row>
    <row r="27" spans="1:10" x14ac:dyDescent="0.25">
      <c r="I27" s="17"/>
    </row>
    <row r="28" spans="1:10" x14ac:dyDescent="0.25">
      <c r="I28" s="17"/>
    </row>
    <row r="29" spans="1:10" x14ac:dyDescent="0.25">
      <c r="I29" s="17"/>
    </row>
    <row r="30" spans="1:10" x14ac:dyDescent="0.25">
      <c r="I30" s="17"/>
    </row>
    <row r="31" spans="1:10" x14ac:dyDescent="0.25">
      <c r="I31" s="17"/>
    </row>
    <row r="32" spans="1:10" x14ac:dyDescent="0.25">
      <c r="I32" s="17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4EF6-1DB0-4849-B0AD-B4B7022E6386}">
  <dimension ref="A1:R32"/>
  <sheetViews>
    <sheetView zoomScale="220" zoomScaleNormal="220" workbookViewId="0">
      <selection activeCell="D10" sqref="D10"/>
    </sheetView>
  </sheetViews>
  <sheetFormatPr defaultColWidth="9.140625" defaultRowHeight="15" x14ac:dyDescent="0.25"/>
  <cols>
    <col min="1" max="1" width="3.140625" style="16" bestFit="1" customWidth="1"/>
    <col min="2" max="2" width="6.7109375" style="16" bestFit="1" customWidth="1"/>
    <col min="3" max="3" width="20.85546875" style="10" bestFit="1" customWidth="1"/>
    <col min="4" max="4" width="9.28515625" style="10" bestFit="1" customWidth="1"/>
    <col min="5" max="5" width="7.85546875" style="16" bestFit="1" customWidth="1"/>
    <col min="6" max="6" width="4.85546875" style="16" bestFit="1" customWidth="1"/>
    <col min="7" max="7" width="14.5703125" style="16" bestFit="1" customWidth="1"/>
    <col min="8" max="8" width="10.5703125" style="16" bestFit="1" customWidth="1"/>
    <col min="9" max="9" width="24.7109375" style="10" bestFit="1" customWidth="1"/>
    <col min="10" max="10" width="11.140625" style="16" bestFit="1" customWidth="1"/>
    <col min="11" max="11" width="3.140625" style="16" bestFit="1" customWidth="1"/>
    <col min="12" max="12" width="5.7109375" style="16" bestFit="1" customWidth="1"/>
    <col min="13" max="13" width="7.28515625" style="16" bestFit="1" customWidth="1"/>
    <col min="14" max="14" width="7.85546875" style="16" bestFit="1" customWidth="1"/>
    <col min="15" max="15" width="4.85546875" style="16" bestFit="1" customWidth="1"/>
    <col min="16" max="16" width="8.5703125" style="16" bestFit="1" customWidth="1"/>
    <col min="17" max="17" width="7.5703125" style="16" bestFit="1" customWidth="1"/>
    <col min="18" max="18" width="28.5703125" style="10" bestFit="1" customWidth="1"/>
    <col min="19" max="16384" width="9.140625" style="16"/>
  </cols>
  <sheetData>
    <row r="1" spans="1:18" x14ac:dyDescent="0.25">
      <c r="A1" s="15"/>
      <c r="B1" s="16">
        <v>41</v>
      </c>
      <c r="C1" s="10" t="s">
        <v>188</v>
      </c>
      <c r="I1" s="17"/>
      <c r="K1" s="15"/>
      <c r="R1" s="17"/>
    </row>
    <row r="2" spans="1:18" s="10" customFormat="1" ht="16.5" thickBot="1" x14ac:dyDescent="0.3">
      <c r="B2" s="11" t="s">
        <v>187</v>
      </c>
      <c r="C2" s="11" t="s">
        <v>125</v>
      </c>
      <c r="D2" s="11" t="s">
        <v>2</v>
      </c>
      <c r="E2" s="11" t="s">
        <v>3</v>
      </c>
      <c r="F2" s="13" t="s">
        <v>126</v>
      </c>
      <c r="G2" s="14" t="s">
        <v>0</v>
      </c>
      <c r="H2" s="11" t="s">
        <v>141</v>
      </c>
      <c r="I2" s="11" t="s">
        <v>142</v>
      </c>
      <c r="J2" s="14" t="s">
        <v>143</v>
      </c>
    </row>
    <row r="3" spans="1:18" x14ac:dyDescent="0.25">
      <c r="B3" s="12" t="s">
        <v>148</v>
      </c>
      <c r="C3" s="10" t="s">
        <v>133</v>
      </c>
      <c r="D3" s="10" t="s">
        <v>149</v>
      </c>
      <c r="E3" s="12" t="s">
        <v>150</v>
      </c>
      <c r="F3" s="18"/>
      <c r="G3" s="16" t="str">
        <f>CONCATENATE("IHM_",$C$1,"_",Tabela613[[#This Row],[CLP]])</f>
        <v>IHM_TP1_MOD</v>
      </c>
      <c r="H3" s="12" t="str">
        <f>IF(Tabela613[[#This Row],[R|W]]="D","-",CONCATENATE(IF(Tabela613[[#This Row],[B|N]]="Inteira","40","00"),IF(Tabela613[[#This Row],[R|W]]="W","5","0"),$B$1,Tabela613[[#This Row],[N]]))</f>
        <v>-</v>
      </c>
      <c r="I3" s="10" t="str">
        <f>CONCATENATE($C$1,".",Tabela613[[#This Row],[EV]])</f>
        <v>TP1.Modelo</v>
      </c>
      <c r="J3" s="12" t="str">
        <f>IF(Tabela613[[#This Row],[R|W]]="D","-",CONCATENATE(IF(Tabela613[[#This Row],[R|W]]="W","5","0"),$B$1,Tabela613[[#This Row],[N]]))</f>
        <v>-</v>
      </c>
    </row>
    <row r="4" spans="1:18" s="26" customFormat="1" x14ac:dyDescent="0.25">
      <c r="B4" s="27" t="s">
        <v>175</v>
      </c>
      <c r="C4" s="28" t="s">
        <v>176</v>
      </c>
      <c r="D4" s="28" t="s">
        <v>154</v>
      </c>
      <c r="E4" s="27" t="s">
        <v>129</v>
      </c>
      <c r="F4" s="29">
        <v>1</v>
      </c>
      <c r="G4" s="26" t="str">
        <f>CONCATENATE("IHM_",$C$1,"_",Tabela613[[#This Row],[CLP]])</f>
        <v>IHM_TP1_ZR</v>
      </c>
      <c r="H4" s="27" t="str">
        <f>IF(Tabela613[[#This Row],[R|W]]="D","-",CONCATENATE(IF(Tabela613[[#This Row],[B|N]]="Inteira","40","00"),IF(Tabela613[[#This Row],[R|W]]="W","5","0"),$B$1,Tabela613[[#This Row],[N]]))</f>
        <v>005411</v>
      </c>
      <c r="I4" s="28" t="str">
        <f>CONCATENATE($C$1,".",Tabela613[[#This Row],[EV]])</f>
        <v>TP1.Zerar</v>
      </c>
      <c r="J4" s="27" t="str">
        <f>IF(Tabela613[[#This Row],[R|W]]="D","-",CONCATENATE(IF(Tabela613[[#This Row],[R|W]]="W","5","0"),$B$1,Tabela613[[#This Row],[N]]))</f>
        <v>5411</v>
      </c>
      <c r="R4" s="28"/>
    </row>
    <row r="5" spans="1:18" x14ac:dyDescent="0.25">
      <c r="B5" s="12" t="s">
        <v>156</v>
      </c>
      <c r="C5" s="19" t="s">
        <v>157</v>
      </c>
      <c r="D5" s="10" t="s">
        <v>154</v>
      </c>
      <c r="E5" s="12" t="s">
        <v>129</v>
      </c>
      <c r="F5" s="18">
        <v>2</v>
      </c>
      <c r="G5" s="16" t="str">
        <f>CONCATENATE("IHM_",$C$1,"_",Tabela613[[#This Row],[CLP]])</f>
        <v>IHM_TP1_TT</v>
      </c>
      <c r="H5" s="12" t="str">
        <f>IF(Tabela613[[#This Row],[R|W]]="D","-",CONCATENATE(IF(Tabela613[[#This Row],[B|N]]="Inteira","40","00"),IF(Tabela613[[#This Row],[R|W]]="W","5","0"),$B$1,Tabela613[[#This Row],[N]]))</f>
        <v>005412</v>
      </c>
      <c r="I5" s="10" t="str">
        <f>CONCATENATE($C$1,".",Tabela613[[#This Row],[EV]])</f>
        <v>TP1.Testar</v>
      </c>
      <c r="J5" s="12" t="str">
        <f>IF(Tabela613[[#This Row],[R|W]]="D","-",CONCATENATE(IF(Tabela613[[#This Row],[R|W]]="W","5","0"),$B$1,Tabela613[[#This Row],[N]]))</f>
        <v>5412</v>
      </c>
    </row>
    <row r="6" spans="1:18" x14ac:dyDescent="0.25">
      <c r="B6" s="12" t="s">
        <v>152</v>
      </c>
      <c r="C6" s="10" t="s">
        <v>153</v>
      </c>
      <c r="D6" s="10" t="s">
        <v>154</v>
      </c>
      <c r="E6" s="12" t="s">
        <v>129</v>
      </c>
      <c r="F6" s="18">
        <v>3</v>
      </c>
      <c r="G6" s="16" t="str">
        <f>CONCATENATE("IHM_",$C$1,"_",Tabela613[[#This Row],[CLP]])</f>
        <v>IHM_TP1_CLB</v>
      </c>
      <c r="H6" s="12" t="str">
        <f>IF(Tabela613[[#This Row],[R|W]]="D","-",CONCATENATE(IF(Tabela613[[#This Row],[B|N]]="Inteira","40","00"),IF(Tabela613[[#This Row],[R|W]]="W","5","0"),$B$1,Tabela613[[#This Row],[N]]))</f>
        <v>005413</v>
      </c>
      <c r="I6" s="10" t="str">
        <f>CONCATENATE($C$1,".",Tabela613[[#This Row],[EV]])</f>
        <v>TP1.Calibrar</v>
      </c>
      <c r="J6" s="12" t="str">
        <f>IF(Tabela613[[#This Row],[R|W]]="D","-",CONCATENATE(IF(Tabela613[[#This Row],[R|W]]="W","5","0"),$B$1,Tabela613[[#This Row],[N]]))</f>
        <v>5413</v>
      </c>
    </row>
    <row r="7" spans="1:18" x14ac:dyDescent="0.25">
      <c r="B7" s="12" t="s">
        <v>177</v>
      </c>
      <c r="C7" s="10" t="s">
        <v>178</v>
      </c>
      <c r="D7" s="10" t="s">
        <v>149</v>
      </c>
      <c r="E7" s="12" t="s">
        <v>132</v>
      </c>
      <c r="F7" s="18">
        <v>1</v>
      </c>
      <c r="G7" s="16" t="str">
        <f>CONCATENATE("IHM_",$C$1,"_",Tabela613[[#This Row],[CLP]])</f>
        <v>IHM_TP1_AI</v>
      </c>
      <c r="H7" s="12" t="str">
        <f>IF(Tabela613[[#This Row],[R|W]]="D","-",CONCATENATE(IF(Tabela613[[#This Row],[B|N]]="Inteira","40","00"),IF(Tabela613[[#This Row],[R|W]]="W","5","0"),$B$1,Tabela613[[#This Row],[N]]))</f>
        <v>400411</v>
      </c>
      <c r="I7" s="10" t="str">
        <f>CONCATENATE($C$1,".",Tabela613[[#This Row],[EV]])</f>
        <v>TP1.SensorEntrada</v>
      </c>
      <c r="J7" s="12" t="str">
        <f>IF(Tabela613[[#This Row],[R|W]]="D","-",CONCATENATE(IF(Tabela613[[#This Row],[R|W]]="W","5","0"),$B$1,Tabela613[[#This Row],[N]]))</f>
        <v>0411</v>
      </c>
    </row>
    <row r="8" spans="1:18" x14ac:dyDescent="0.25">
      <c r="B8" s="12" t="s">
        <v>159</v>
      </c>
      <c r="C8" s="10" t="s">
        <v>179</v>
      </c>
      <c r="D8" s="10" t="s">
        <v>149</v>
      </c>
      <c r="E8" s="12" t="s">
        <v>132</v>
      </c>
      <c r="F8" s="18">
        <v>2</v>
      </c>
      <c r="G8" s="16" t="str">
        <f>CONCATENATE("IHM_",$C$1,"_",Tabela613[[#This Row],[CLP]])</f>
        <v>IHM_TP1_SN</v>
      </c>
      <c r="H8" s="12" t="str">
        <f>IF(Tabela613[[#This Row],[R|W]]="D","-",CONCATENATE(IF(Tabela613[[#This Row],[B|N]]="Inteira","40","00"),IF(Tabela613[[#This Row],[R|W]]="W","5","0"),$B$1,Tabela613[[#This Row],[N]]))</f>
        <v>400412</v>
      </c>
      <c r="I8" s="10" t="str">
        <f>CONCATENATE($C$1,".",Tabela613[[#This Row],[EV]])</f>
        <v>TP1.SensorSaida</v>
      </c>
      <c r="J8" s="12" t="str">
        <f>IF(Tabela613[[#This Row],[R|W]]="D","-",CONCATENATE(IF(Tabela613[[#This Row],[R|W]]="W","5","0"),$B$1,Tabela613[[#This Row],[N]]))</f>
        <v>0412</v>
      </c>
    </row>
    <row r="9" spans="1:18" x14ac:dyDescent="0.25">
      <c r="B9" s="12" t="s">
        <v>180</v>
      </c>
      <c r="C9" s="10" t="s">
        <v>181</v>
      </c>
      <c r="D9" s="10" t="s">
        <v>149</v>
      </c>
      <c r="E9" s="12" t="s">
        <v>132</v>
      </c>
      <c r="F9" s="18">
        <v>3</v>
      </c>
      <c r="G9" s="16" t="str">
        <f>CONCATENATE("IHM_",$C$1,"_",Tabela613[[#This Row],[CLP]])</f>
        <v>IHM_TP1_PKE</v>
      </c>
      <c r="H9" s="12" t="str">
        <f>IF(Tabela613[[#This Row],[R|W]]="D","-",CONCATENATE(IF(Tabela613[[#This Row],[B|N]]="Inteira","40","00"),IF(Tabela613[[#This Row],[R|W]]="W","5","0"),$B$1,Tabela613[[#This Row],[N]]))</f>
        <v>400413</v>
      </c>
      <c r="I9" s="10" t="str">
        <f>CONCATENATE($C$1,".",Tabela613[[#This Row],[EV]])</f>
        <v>TP1.PicoEntrada</v>
      </c>
      <c r="J9" s="12" t="str">
        <f>IF(Tabela613[[#This Row],[R|W]]="D","-",CONCATENATE(IF(Tabela613[[#This Row],[R|W]]="W","5","0"),$B$1,Tabela613[[#This Row],[N]]))</f>
        <v>0413</v>
      </c>
    </row>
    <row r="10" spans="1:18" x14ac:dyDescent="0.25">
      <c r="B10" s="12" t="s">
        <v>182</v>
      </c>
      <c r="C10" s="10" t="s">
        <v>183</v>
      </c>
      <c r="D10" s="10" t="s">
        <v>149</v>
      </c>
      <c r="E10" s="12" t="s">
        <v>132</v>
      </c>
      <c r="F10" s="18">
        <v>4</v>
      </c>
      <c r="G10" s="16" t="str">
        <f>CONCATENATE("IHM_",$C$1,"_",Tabela613[[#This Row],[CLP]])</f>
        <v>IHM_TP1_PKS</v>
      </c>
      <c r="H10" s="12" t="str">
        <f>IF(Tabela613[[#This Row],[R|W]]="D","-",CONCATENATE(IF(Tabela613[[#This Row],[B|N]]="Inteira","40","00"),IF(Tabela613[[#This Row],[R|W]]="W","5","0"),$B$1,Tabela613[[#This Row],[N]]))</f>
        <v>400414</v>
      </c>
      <c r="I10" s="10" t="str">
        <f>CONCATENATE($C$1,".",Tabela613[[#This Row],[EV]])</f>
        <v>TP1.PicoSaida</v>
      </c>
      <c r="J10" s="12" t="str">
        <f>IF(Tabela613[[#This Row],[R|W]]="D","-",CONCATENATE(IF(Tabela613[[#This Row],[R|W]]="W","5","0"),$B$1,Tabela613[[#This Row],[N]]))</f>
        <v>0414</v>
      </c>
    </row>
    <row r="11" spans="1:18" x14ac:dyDescent="0.25">
      <c r="B11" s="12" t="s">
        <v>204</v>
      </c>
      <c r="C11" s="10" t="s">
        <v>202</v>
      </c>
      <c r="D11" s="10" t="s">
        <v>149</v>
      </c>
      <c r="E11" s="12" t="s">
        <v>132</v>
      </c>
      <c r="F11" s="12">
        <v>5</v>
      </c>
      <c r="G11" s="23" t="str">
        <f>CONCATENATE("IHM_",$C$1,"_",Tabela613[[#This Row],[CLP]])</f>
        <v>IHM_TP1_Emin</v>
      </c>
      <c r="H11" s="24" t="str">
        <f>IF(Tabela613[[#This Row],[R|W]]="D","-",CONCATENATE(IF(Tabela613[[#This Row],[B|N]]="Inteira","40","00"),IF(Tabela613[[#This Row],[R|W]]="W","5","0"),$B$1,Tabela613[[#This Row],[N]]))</f>
        <v>400415</v>
      </c>
      <c r="I11" s="25" t="str">
        <f>CONCATENATE($C$1,".",Tabela613[[#This Row],[EV]])</f>
        <v>TP1.EntradaMinima</v>
      </c>
      <c r="J11" s="24" t="str">
        <f>IF(Tabela613[[#This Row],[R|W]]="D","-",CONCATENATE(IF(Tabela613[[#This Row],[R|W]]="W","5","0"),$B$1,Tabela613[[#This Row],[N]]))</f>
        <v>0415</v>
      </c>
    </row>
    <row r="12" spans="1:18" x14ac:dyDescent="0.25">
      <c r="B12" s="12" t="s">
        <v>205</v>
      </c>
      <c r="C12" s="10" t="s">
        <v>203</v>
      </c>
      <c r="D12" s="10" t="s">
        <v>149</v>
      </c>
      <c r="E12" s="12" t="s">
        <v>132</v>
      </c>
      <c r="F12" s="12">
        <v>6</v>
      </c>
      <c r="G12" s="23" t="str">
        <f>CONCATENATE("IHM_",$C$1,"_",Tabela613[[#This Row],[CLP]])</f>
        <v>IHM_TP1_Emax</v>
      </c>
      <c r="H12" s="24" t="str">
        <f>IF(Tabela613[[#This Row],[R|W]]="D","-",CONCATENATE(IF(Tabela613[[#This Row],[B|N]]="Inteira","40","00"),IF(Tabela613[[#This Row],[R|W]]="W","5","0"),$B$1,Tabela613[[#This Row],[N]]))</f>
        <v>400416</v>
      </c>
      <c r="I12" s="25" t="str">
        <f>CONCATENATE($C$1,".",Tabela613[[#This Row],[EV]])</f>
        <v>TP1.EntradaMaxima</v>
      </c>
      <c r="J12" s="24" t="str">
        <f>IF(Tabela613[[#This Row],[R|W]]="D","-",CONCATENATE(IF(Tabela613[[#This Row],[R|W]]="W","5","0"),$B$1,Tabela613[[#This Row],[N]]))</f>
        <v>0416</v>
      </c>
    </row>
    <row r="13" spans="1:18" x14ac:dyDescent="0.25">
      <c r="B13" s="12" t="s">
        <v>208</v>
      </c>
      <c r="C13" s="10" t="s">
        <v>206</v>
      </c>
      <c r="D13" s="10" t="s">
        <v>149</v>
      </c>
      <c r="E13" s="12" t="s">
        <v>132</v>
      </c>
      <c r="F13" s="12">
        <v>7</v>
      </c>
      <c r="G13" s="23" t="str">
        <f>CONCATENATE("IHM_",$C$1,"_",Tabela613[[#This Row],[CLP]])</f>
        <v>IHM_TP1_Smin</v>
      </c>
      <c r="H13" s="24" t="str">
        <f>IF(Tabela613[[#This Row],[R|W]]="D","-",CONCATENATE(IF(Tabela613[[#This Row],[B|N]]="Inteira","40","00"),IF(Tabela613[[#This Row],[R|W]]="W","5","0"),$B$1,Tabela613[[#This Row],[N]]))</f>
        <v>400417</v>
      </c>
      <c r="I13" s="25" t="str">
        <f>CONCATENATE($C$1,".",Tabela613[[#This Row],[EV]])</f>
        <v>TP1.SaidaMinima</v>
      </c>
      <c r="J13" s="24" t="str">
        <f>IF(Tabela613[[#This Row],[R|W]]="D","-",CONCATENATE(IF(Tabela613[[#This Row],[R|W]]="W","5","0"),$B$1,Tabela613[[#This Row],[N]]))</f>
        <v>0417</v>
      </c>
    </row>
    <row r="14" spans="1:18" x14ac:dyDescent="0.25">
      <c r="B14" s="12" t="s">
        <v>209</v>
      </c>
      <c r="C14" s="10" t="s">
        <v>207</v>
      </c>
      <c r="D14" s="10" t="s">
        <v>149</v>
      </c>
      <c r="E14" s="12" t="s">
        <v>132</v>
      </c>
      <c r="F14" s="12">
        <v>8</v>
      </c>
      <c r="G14" s="23" t="str">
        <f>CONCATENATE("IHM_",$C$1,"_",Tabela613[[#This Row],[CLP]])</f>
        <v>IHM_TP1_Smax</v>
      </c>
      <c r="H14" s="24" t="str">
        <f>IF(Tabela613[[#This Row],[R|W]]="D","-",CONCATENATE(IF(Tabela613[[#This Row],[B|N]]="Inteira","40","00"),IF(Tabela613[[#This Row],[R|W]]="W","5","0"),$B$1,Tabela613[[#This Row],[N]]))</f>
        <v>400418</v>
      </c>
      <c r="I14" s="25" t="str">
        <f>CONCATENATE($C$1,".",Tabela613[[#This Row],[EV]])</f>
        <v>TP1.SaidaMaxima</v>
      </c>
      <c r="J14" s="24" t="str">
        <f>IF(Tabela613[[#This Row],[R|W]]="D","-",CONCATENATE(IF(Tabela613[[#This Row],[R|W]]="W","5","0"),$B$1,Tabela613[[#This Row],[N]]))</f>
        <v>0418</v>
      </c>
    </row>
    <row r="15" spans="1:18" x14ac:dyDescent="0.25">
      <c r="B15" s="12" t="s">
        <v>184</v>
      </c>
      <c r="C15" s="10" t="s">
        <v>185</v>
      </c>
      <c r="D15" s="10" t="s">
        <v>149</v>
      </c>
      <c r="E15" s="12" t="s">
        <v>129</v>
      </c>
      <c r="F15" s="18">
        <v>1</v>
      </c>
      <c r="G15" s="16" t="str">
        <f>CONCATENATE("IHM_",$C$1,"_",Tabela613[[#This Row],[CLP]])</f>
        <v>IHM_TP1_MED</v>
      </c>
      <c r="H15" s="12" t="str">
        <f>IF(Tabela613[[#This Row],[R|W]]="D","-",CONCATENATE(IF(Tabela613[[#This Row],[B|N]]="Inteira","40","00"),IF(Tabela613[[#This Row],[R|W]]="W","5","0"),$B$1,Tabela613[[#This Row],[N]]))</f>
        <v>405411</v>
      </c>
      <c r="I15" s="10" t="str">
        <f>CONCATENATE($C$1,".",Tabela613[[#This Row],[EV]])</f>
        <v>TP1.Medido</v>
      </c>
      <c r="J15" s="12" t="str">
        <f>IF(Tabela613[[#This Row],[R|W]]="D","-",CONCATENATE(IF(Tabela613[[#This Row],[R|W]]="W","5","0"),$B$1,Tabela613[[#This Row],[N]]))</f>
        <v>5411</v>
      </c>
    </row>
    <row r="16" spans="1:18" x14ac:dyDescent="0.25">
      <c r="B16" s="12" t="s">
        <v>145</v>
      </c>
      <c r="C16" s="10" t="s">
        <v>169</v>
      </c>
      <c r="D16" s="10" t="s">
        <v>149</v>
      </c>
      <c r="E16" s="12" t="s">
        <v>129</v>
      </c>
      <c r="F16" s="18">
        <v>2</v>
      </c>
      <c r="G16" s="16" t="str">
        <f>CONCATENATE("IHM_",$C$1,"_",Tabela613[[#This Row],[CLP]])</f>
        <v>IHM_TP1_MN</v>
      </c>
      <c r="H16" s="12" t="str">
        <f>IF(Tabela613[[#This Row],[R|W]]="D","-",CONCATENATE(IF(Tabela613[[#This Row],[B|N]]="Inteira","40","00"),IF(Tabela613[[#This Row],[R|W]]="W","5","0"),$B$1,Tabela613[[#This Row],[N]]))</f>
        <v>405412</v>
      </c>
      <c r="I16" s="10" t="str">
        <f>CONCATENATE($C$1,".",Tabela613[[#This Row],[EV]])</f>
        <v>TP1.Minimo</v>
      </c>
      <c r="J16" s="12" t="str">
        <f>IF(Tabela613[[#This Row],[R|W]]="D","-",CONCATENATE(IF(Tabela613[[#This Row],[R|W]]="W","5","0"),$B$1,Tabela613[[#This Row],[N]]))</f>
        <v>5412</v>
      </c>
    </row>
    <row r="17" spans="1:10" x14ac:dyDescent="0.25">
      <c r="B17" s="12" t="s">
        <v>166</v>
      </c>
      <c r="C17" s="10" t="s">
        <v>167</v>
      </c>
      <c r="D17" s="10" t="s">
        <v>149</v>
      </c>
      <c r="E17" s="12" t="s">
        <v>129</v>
      </c>
      <c r="F17" s="18">
        <v>3</v>
      </c>
      <c r="G17" s="16" t="str">
        <f>CONCATENATE("IHM_",$C$1,"_",Tabela613[[#This Row],[CLP]])</f>
        <v>IHM_TP1_MX</v>
      </c>
      <c r="H17" s="12" t="str">
        <f>IF(Tabela613[[#This Row],[R|W]]="D","-",CONCATENATE(IF(Tabela613[[#This Row],[B|N]]="Inteira","40","00"),IF(Tabela613[[#This Row],[R|W]]="W","5","0"),$B$1,Tabela613[[#This Row],[N]]))</f>
        <v>405413</v>
      </c>
      <c r="I17" s="10" t="str">
        <f>CONCATENATE($C$1,".",Tabela613[[#This Row],[EV]])</f>
        <v>TP1.Maximo</v>
      </c>
      <c r="J17" s="12" t="str">
        <f>IF(Tabela613[[#This Row],[R|W]]="D","-",CONCATENATE(IF(Tabela613[[#This Row],[R|W]]="W","5","0"),$B$1,Tabela613[[#This Row],[N]]))</f>
        <v>5413</v>
      </c>
    </row>
    <row r="18" spans="1:10" x14ac:dyDescent="0.25">
      <c r="B18" s="12" t="s">
        <v>171</v>
      </c>
      <c r="C18" s="10" t="s">
        <v>172</v>
      </c>
      <c r="D18" s="10" t="s">
        <v>149</v>
      </c>
      <c r="E18" s="12" t="s">
        <v>129</v>
      </c>
      <c r="F18" s="18">
        <v>4</v>
      </c>
      <c r="G18" s="16" t="str">
        <f>CONCATENATE("IHM_",$C$1,"_",Tabela613[[#This Row],[CLP]])</f>
        <v>IHM_TP1_TM</v>
      </c>
      <c r="H18" s="12" t="str">
        <f>IF(Tabela613[[#This Row],[R|W]]="D","-",CONCATENATE(IF(Tabela613[[#This Row],[B|N]]="Inteira","40","00"),IF(Tabela613[[#This Row],[R|W]]="W","5","0"),$B$1,Tabela613[[#This Row],[N]]))</f>
        <v>405414</v>
      </c>
      <c r="I18" s="10" t="str">
        <f>CONCATENATE($C$1,".",Tabela613[[#This Row],[EV]])</f>
        <v>TP1.Tempo</v>
      </c>
      <c r="J18" s="12" t="str">
        <f>IF(Tabela613[[#This Row],[R|W]]="D","-",CONCATENATE(IF(Tabela613[[#This Row],[R|W]]="W","5","0"),$B$1,Tabela613[[#This Row],[N]]))</f>
        <v>5414</v>
      </c>
    </row>
    <row r="19" spans="1:10" x14ac:dyDescent="0.25">
      <c r="B19" s="12" t="s">
        <v>198</v>
      </c>
      <c r="C19" s="10" t="s">
        <v>200</v>
      </c>
      <c r="D19" s="10" t="s">
        <v>149</v>
      </c>
      <c r="E19" s="12" t="s">
        <v>129</v>
      </c>
      <c r="F19" s="12">
        <v>5</v>
      </c>
      <c r="G19" s="23" t="str">
        <f>CONCATENATE("IHM_",$C$1,"_",Tabela613[[#This Row],[CLP]])</f>
        <v>IHM_TP1_DL</v>
      </c>
      <c r="H19" s="24" t="str">
        <f>IF(Tabela613[[#This Row],[R|W]]="D","-",CONCATENATE(IF(Tabela613[[#This Row],[B|N]]="Inteira","40","00"),IF(Tabela613[[#This Row],[R|W]]="W","5","0"),$B$1,Tabela613[[#This Row],[N]]))</f>
        <v>405415</v>
      </c>
      <c r="I19" s="25" t="str">
        <f>CONCATENATE($C$1,".",Tabela613[[#This Row],[EV]])</f>
        <v>TP1.DeslocamentoLinear</v>
      </c>
      <c r="J19" s="24" t="str">
        <f>IF(Tabela613[[#This Row],[R|W]]="D","-",CONCATENATE(IF(Tabela613[[#This Row],[R|W]]="W","5","0"),$B$1,Tabela613[[#This Row],[N]]))</f>
        <v>5415</v>
      </c>
    </row>
    <row r="20" spans="1:10" x14ac:dyDescent="0.25">
      <c r="B20" s="12" t="s">
        <v>199</v>
      </c>
      <c r="C20" s="10" t="s">
        <v>201</v>
      </c>
      <c r="D20" s="10" t="s">
        <v>149</v>
      </c>
      <c r="E20" s="12" t="s">
        <v>129</v>
      </c>
      <c r="F20" s="12">
        <v>6</v>
      </c>
      <c r="G20" s="23" t="str">
        <f>CONCATENATE("IHM_",$C$1,"_",Tabela613[[#This Row],[CLP]])</f>
        <v>IHM_TP1_DA</v>
      </c>
      <c r="H20" s="24" t="str">
        <f>IF(Tabela613[[#This Row],[R|W]]="D","-",CONCATENATE(IF(Tabela613[[#This Row],[B|N]]="Inteira","40","00"),IF(Tabela613[[#This Row],[R|W]]="W","5","0"),$B$1,Tabela613[[#This Row],[N]]))</f>
        <v>405416</v>
      </c>
      <c r="I20" s="25" t="str">
        <f>CONCATENATE($C$1,".",Tabela613[[#This Row],[EV]])</f>
        <v>TP1.DeslocamentoAngular</v>
      </c>
      <c r="J20" s="24" t="str">
        <f>IF(Tabela613[[#This Row],[R|W]]="D","-",CONCATENATE(IF(Tabela613[[#This Row],[R|W]]="W","5","0"),$B$1,Tabela613[[#This Row],[N]]))</f>
        <v>5416</v>
      </c>
    </row>
    <row r="22" spans="1:10" x14ac:dyDescent="0.25">
      <c r="A22" s="15"/>
    </row>
    <row r="23" spans="1:10" x14ac:dyDescent="0.25">
      <c r="I23" s="17"/>
    </row>
    <row r="24" spans="1:10" x14ac:dyDescent="0.25">
      <c r="I24" s="17"/>
    </row>
    <row r="25" spans="1:10" x14ac:dyDescent="0.25">
      <c r="I25" s="17"/>
    </row>
    <row r="26" spans="1:10" x14ac:dyDescent="0.25">
      <c r="I26" s="17"/>
    </row>
    <row r="27" spans="1:10" x14ac:dyDescent="0.25">
      <c r="I27" s="17"/>
    </row>
    <row r="28" spans="1:10" x14ac:dyDescent="0.25">
      <c r="I28" s="17"/>
    </row>
    <row r="29" spans="1:10" x14ac:dyDescent="0.25">
      <c r="I29" s="17"/>
    </row>
    <row r="30" spans="1:10" x14ac:dyDescent="0.25">
      <c r="I30" s="17"/>
    </row>
    <row r="31" spans="1:10" x14ac:dyDescent="0.25">
      <c r="I31" s="17"/>
    </row>
    <row r="32" spans="1:10" x14ac:dyDescent="0.25">
      <c r="I32" s="17"/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B7B0C995F7A548A02B7203F406C0B9" ma:contentTypeVersion="2" ma:contentTypeDescription="Crie um novo documento." ma:contentTypeScope="" ma:versionID="7eaf330260c9aeb2e3baed5b68f68383">
  <xsd:schema xmlns:xsd="http://www.w3.org/2001/XMLSchema" xmlns:xs="http://www.w3.org/2001/XMLSchema" xmlns:p="http://schemas.microsoft.com/office/2006/metadata/properties" xmlns:ns3="2f45c62c-e765-4aef-8307-ee1908fc8b0a" targetNamespace="http://schemas.microsoft.com/office/2006/metadata/properties" ma:root="true" ma:fieldsID="b9d8eb7b2fbb34328a32425f5bb35a5c" ns3:_="">
    <xsd:import namespace="2f45c62c-e765-4aef-8307-ee1908fc8b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5c62c-e765-4aef-8307-ee1908fc8b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E3A422-08B2-40BA-B5A1-77D5825588D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5BE450-A242-4125-B2B7-48B1DDE626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45c62c-e765-4aef-8307-ee1908fc8b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CDE6D2-66E2-42FD-8E9C-C0313CC007E8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2f45c62c-e765-4aef-8307-ee1908fc8b0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ENDEREÇOS</vt:lpstr>
      <vt:lpstr>Sub Global</vt:lpstr>
      <vt:lpstr>IHM 00</vt:lpstr>
      <vt:lpstr>OP 0X</vt:lpstr>
      <vt:lpstr>TD 1X</vt:lpstr>
      <vt:lpstr>SCL</vt:lpstr>
      <vt:lpstr>SA 2X</vt:lpstr>
      <vt:lpstr>CC 3X</vt:lpstr>
      <vt:lpstr>TP 4X</vt:lpstr>
      <vt:lpstr>PF 5X</vt:lpstr>
      <vt:lpstr>Planilha1</vt:lpstr>
      <vt:lpstr>MT 6X</vt:lpstr>
      <vt:lpstr>IMP 7X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oliveirac</dc:creator>
  <cp:keywords/>
  <dc:description/>
  <cp:lastModifiedBy>oliveirac</cp:lastModifiedBy>
  <cp:revision/>
  <dcterms:created xsi:type="dcterms:W3CDTF">2021-05-14T10:20:56Z</dcterms:created>
  <dcterms:modified xsi:type="dcterms:W3CDTF">2022-04-25T17:44:46Z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0x010100F4B7B0C995F7A548A02B7203F406C0B9</vt:lpwstr>
  </property>
</Properties>
</file>