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cmeier/Documents/neonScienceDocs/gitRepositories/neonPlantSampling/hbpSampling/sampleSortTime/"/>
    </mc:Choice>
  </mc:AlternateContent>
  <bookViews>
    <workbookView xWindow="0" yWindow="460" windowWidth="23940" windowHeight="28340" activeTab="2"/>
  </bookViews>
  <sheets>
    <sheet name="Analysis 1" sheetId="2" r:id="rId1"/>
    <sheet name="Analysis 2" sheetId="4" r:id="rId2"/>
    <sheet name="Analysis 3" sheetId="5" r:id="rId3"/>
    <sheet name="Sort Tracking Log" sheetId="1" r:id="rId4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5" i="4" l="1"/>
  <c r="F4" i="4"/>
  <c r="F3" i="4"/>
  <c r="F2" i="4"/>
  <c r="E26" i="4"/>
  <c r="H5" i="4"/>
  <c r="H4" i="4"/>
  <c r="H3" i="4"/>
  <c r="H2" i="4"/>
  <c r="F3" i="5"/>
  <c r="F2" i="5"/>
  <c r="E26" i="5"/>
  <c r="H3" i="5"/>
  <c r="H2" i="5"/>
  <c r="F6" i="5"/>
  <c r="F5" i="5"/>
  <c r="F4" i="5"/>
  <c r="H6" i="5"/>
  <c r="H5" i="5"/>
  <c r="H4" i="5"/>
  <c r="F11" i="5"/>
  <c r="F10" i="5"/>
  <c r="F9" i="5"/>
  <c r="F8" i="5"/>
  <c r="F7" i="5"/>
  <c r="H11" i="5"/>
  <c r="H10" i="5"/>
  <c r="H9" i="5"/>
  <c r="H8" i="5"/>
  <c r="H7" i="5"/>
  <c r="F15" i="4"/>
  <c r="F14" i="4"/>
  <c r="F13" i="4"/>
  <c r="F12" i="4"/>
  <c r="F11" i="4"/>
  <c r="F10" i="4"/>
  <c r="F9" i="4"/>
  <c r="F8" i="4"/>
  <c r="F7" i="4"/>
  <c r="F6" i="4"/>
  <c r="H15" i="4"/>
  <c r="H14" i="4"/>
  <c r="H13" i="4"/>
  <c r="H12" i="4"/>
  <c r="H11" i="4"/>
  <c r="H10" i="4"/>
  <c r="H9" i="4"/>
  <c r="H8" i="4"/>
  <c r="H7" i="4"/>
  <c r="H6" i="4"/>
  <c r="F22" i="2"/>
  <c r="F21" i="2"/>
  <c r="F20" i="2"/>
  <c r="F19" i="2"/>
  <c r="F18" i="2"/>
  <c r="F17" i="2"/>
  <c r="F16" i="2"/>
  <c r="F15" i="2"/>
  <c r="F14" i="2"/>
  <c r="F13" i="2"/>
  <c r="F12" i="2"/>
  <c r="F11" i="2"/>
  <c r="F10" i="2"/>
  <c r="F9" i="2"/>
  <c r="F8" i="2"/>
  <c r="F7" i="2"/>
  <c r="F6" i="2"/>
  <c r="F5" i="2"/>
  <c r="F4" i="2"/>
  <c r="F3" i="2"/>
  <c r="H22" i="2"/>
  <c r="H21" i="2"/>
  <c r="H20" i="2"/>
  <c r="H19" i="2"/>
  <c r="H18" i="2"/>
  <c r="H17" i="2"/>
  <c r="H16" i="2"/>
  <c r="H15" i="2"/>
  <c r="H14" i="2"/>
  <c r="H13" i="2"/>
  <c r="H12" i="2"/>
  <c r="H11" i="2"/>
  <c r="H10" i="2"/>
  <c r="H9" i="2"/>
  <c r="H8" i="2"/>
  <c r="H7" i="2"/>
  <c r="H6" i="2"/>
  <c r="F2" i="2"/>
  <c r="H5" i="2"/>
  <c r="H4" i="2"/>
  <c r="H3" i="2"/>
  <c r="H2" i="2"/>
  <c r="G3" i="5"/>
  <c r="G4" i="5"/>
  <c r="G5" i="5"/>
  <c r="G6" i="5"/>
  <c r="G7" i="5"/>
  <c r="G8" i="5"/>
  <c r="G9" i="5"/>
  <c r="G10" i="5"/>
  <c r="G11" i="5"/>
  <c r="G2" i="5"/>
  <c r="G7" i="4"/>
  <c r="G11" i="4"/>
  <c r="G15" i="4"/>
  <c r="G5" i="4"/>
  <c r="G6" i="4"/>
  <c r="G8" i="4"/>
  <c r="G9" i="4"/>
  <c r="G10" i="4"/>
  <c r="G12" i="4"/>
  <c r="G13" i="4"/>
  <c r="G14" i="4"/>
  <c r="G4" i="4"/>
  <c r="G3" i="4"/>
  <c r="G2" i="4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6" i="2"/>
  <c r="G5" i="2"/>
  <c r="E26" i="2"/>
  <c r="G4" i="2"/>
  <c r="G3" i="2"/>
  <c r="G2" i="2"/>
</calcChain>
</file>

<file path=xl/sharedStrings.xml><?xml version="1.0" encoding="utf-8"?>
<sst xmlns="http://schemas.openxmlformats.org/spreadsheetml/2006/main" count="234" uniqueCount="39">
  <si>
    <t>Technican</t>
  </si>
  <si>
    <t>15min</t>
  </si>
  <si>
    <t>30min</t>
  </si>
  <si>
    <t>45min</t>
  </si>
  <si>
    <t>60min</t>
  </si>
  <si>
    <t>75min</t>
  </si>
  <si>
    <t>105min</t>
  </si>
  <si>
    <t>120min</t>
  </si>
  <si>
    <t>135min</t>
  </si>
  <si>
    <t>PlotID</t>
  </si>
  <si>
    <t>Clip Cell Num</t>
  </si>
  <si>
    <t>150min</t>
  </si>
  <si>
    <t>165min</t>
  </si>
  <si>
    <t>180min</t>
  </si>
  <si>
    <t>195min</t>
  </si>
  <si>
    <t>210min</t>
  </si>
  <si>
    <t>225min</t>
  </si>
  <si>
    <t>240min</t>
  </si>
  <si>
    <t>255min</t>
  </si>
  <si>
    <t>Start</t>
  </si>
  <si>
    <t>270min</t>
  </si>
  <si>
    <t>285min</t>
  </si>
  <si>
    <t>300min</t>
  </si>
  <si>
    <t>Final Weight</t>
  </si>
  <si>
    <t>90min</t>
  </si>
  <si>
    <t>Final Time</t>
  </si>
  <si>
    <t>Weight</t>
  </si>
  <si>
    <t>NOGP_064</t>
  </si>
  <si>
    <t>Bclow</t>
  </si>
  <si>
    <t>Time (min)</t>
  </si>
  <si>
    <t>NOGP_069</t>
  </si>
  <si>
    <t>OSD removed (15m interval)</t>
  </si>
  <si>
    <t>Total OSD removed</t>
  </si>
  <si>
    <t>Jhengel</t>
  </si>
  <si>
    <t>NOGP_086</t>
  </si>
  <si>
    <t>Myoung</t>
  </si>
  <si>
    <t>%  OSD removed</t>
  </si>
  <si>
    <t>Total % OSD removed</t>
  </si>
  <si>
    <t>% OSD removed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</si>
</sst>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</borders>
  <cellStyleXfs count="18">
    <xf numFmtId="0" fontId="0" fillId="0" borderId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2" fillId="2" borderId="0" xfId="0" applyFont="1" applyFill="1"/>
    <xf numFmtId="0" fontId="0" fillId="0" borderId="1" xfId="0" applyBorder="1"/>
    <xf numFmtId="0" fontId="0" fillId="0" borderId="1" xfId="0" applyBorder="1" applyAlignment="1">
      <alignment wrapText="1"/>
    </xf>
    <xf numFmtId="0" fontId="0" fillId="2" borderId="0" xfId="0" applyFill="1"/>
    <xf numFmtId="0" fontId="0" fillId="0" borderId="0" xfId="0" applyBorder="1"/>
    <xf numFmtId="164" fontId="0" fillId="0" borderId="0" xfId="1" applyNumberFormat="1" applyFont="1"/>
    <xf numFmtId="164" fontId="0" fillId="0" borderId="0" xfId="0" applyNumberForma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8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_rels/chart3.xml.rels><?xml version="1.0" encoding="UTF-8" standalone="yes"?>
<Relationships xmlns="http://schemas.openxmlformats.org/package/2006/relationships"><Relationship Id="rId1" Type="http://schemas.microsoft.com/office/2011/relationships/chartStyle" Target="style3.xml"/><Relationship Id="rId2" Type="http://schemas.microsoft.com/office/2011/relationships/chartColorStyle" Target="colors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Herbaceous</a:t>
            </a:r>
            <a:r>
              <a:rPr lang="en-US" baseline="0"/>
              <a:t> Mass Over Time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'Analysis 1'!$E$1</c:f>
              <c:strCache>
                <c:ptCount val="1"/>
                <c:pt idx="0">
                  <c:v>Weight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'Analysis 1'!$D$2:$D$22</c:f>
              <c:numCache>
                <c:formatCode>General</c:formatCode>
                <c:ptCount val="2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</c:numCache>
            </c:numRef>
          </c:cat>
          <c:val>
            <c:numRef>
              <c:f>'Analysis 1'!$E$2:$E$22</c:f>
              <c:numCache>
                <c:formatCode>General</c:formatCode>
                <c:ptCount val="21"/>
                <c:pt idx="0">
                  <c:v>217.75</c:v>
                </c:pt>
                <c:pt idx="1">
                  <c:v>208.9</c:v>
                </c:pt>
                <c:pt idx="2">
                  <c:v>201.21</c:v>
                </c:pt>
                <c:pt idx="3">
                  <c:v>195.1</c:v>
                </c:pt>
                <c:pt idx="4">
                  <c:v>190.44</c:v>
                </c:pt>
                <c:pt idx="5">
                  <c:v>185.1</c:v>
                </c:pt>
                <c:pt idx="6">
                  <c:v>180.46</c:v>
                </c:pt>
                <c:pt idx="7">
                  <c:v>176.45</c:v>
                </c:pt>
                <c:pt idx="8">
                  <c:v>170.1</c:v>
                </c:pt>
                <c:pt idx="9">
                  <c:v>165.33</c:v>
                </c:pt>
                <c:pt idx="10">
                  <c:v>160.5</c:v>
                </c:pt>
                <c:pt idx="11">
                  <c:v>155.65</c:v>
                </c:pt>
                <c:pt idx="12">
                  <c:v>151.34</c:v>
                </c:pt>
                <c:pt idx="13">
                  <c:v>147.66</c:v>
                </c:pt>
                <c:pt idx="14">
                  <c:v>142.82</c:v>
                </c:pt>
                <c:pt idx="15">
                  <c:v>139.85</c:v>
                </c:pt>
                <c:pt idx="16">
                  <c:v>136.65</c:v>
                </c:pt>
                <c:pt idx="17">
                  <c:v>133.65</c:v>
                </c:pt>
                <c:pt idx="18">
                  <c:v>131.02</c:v>
                </c:pt>
                <c:pt idx="19">
                  <c:v>128.55</c:v>
                </c:pt>
                <c:pt idx="20">
                  <c:v>126.81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92968272"/>
        <c:axId val="-292319328"/>
      </c:lineChart>
      <c:catAx>
        <c:axId val="-2929682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(min)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92319328"/>
        <c:crosses val="autoZero"/>
        <c:auto val="1"/>
        <c:lblAlgn val="ctr"/>
        <c:lblOffset val="100"/>
        <c:noMultiLvlLbl val="0"/>
      </c:catAx>
      <c:valAx>
        <c:axId val="-292319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Herbaceous</a:t>
                </a:r>
                <a:r>
                  <a:rPr lang="en-US" baseline="0"/>
                  <a:t>  mass (g)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929682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Herbaceous Mass Over Time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'Analysis 2'!$E$1</c:f>
              <c:strCache>
                <c:ptCount val="1"/>
                <c:pt idx="0">
                  <c:v>Weight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'Analysis 2'!$D$2:$D$15</c:f>
              <c:numCache>
                <c:formatCode>General</c:formatCode>
                <c:ptCount val="14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</c:numCache>
            </c:numRef>
          </c:cat>
          <c:val>
            <c:numRef>
              <c:f>'Analysis 2'!$E$2:$E$15</c:f>
              <c:numCache>
                <c:formatCode>General</c:formatCode>
                <c:ptCount val="14"/>
                <c:pt idx="0">
                  <c:v>145.58</c:v>
                </c:pt>
                <c:pt idx="1">
                  <c:v>132.68</c:v>
                </c:pt>
                <c:pt idx="2">
                  <c:v>123.11</c:v>
                </c:pt>
                <c:pt idx="3">
                  <c:v>113.42</c:v>
                </c:pt>
                <c:pt idx="4">
                  <c:v>108.85</c:v>
                </c:pt>
                <c:pt idx="5">
                  <c:v>102.87</c:v>
                </c:pt>
                <c:pt idx="6">
                  <c:v>97.06</c:v>
                </c:pt>
                <c:pt idx="7">
                  <c:v>93.7</c:v>
                </c:pt>
                <c:pt idx="8">
                  <c:v>90.01</c:v>
                </c:pt>
                <c:pt idx="9">
                  <c:v>81.93</c:v>
                </c:pt>
                <c:pt idx="10">
                  <c:v>77.6</c:v>
                </c:pt>
                <c:pt idx="11">
                  <c:v>73.49</c:v>
                </c:pt>
                <c:pt idx="12">
                  <c:v>68.58</c:v>
                </c:pt>
                <c:pt idx="13">
                  <c:v>67.45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92906128"/>
        <c:axId val="-292897744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'Analysis 2'!$D$1</c15:sqref>
                        </c15:formulaRef>
                      </c:ext>
                    </c:extLst>
                    <c:strCache>
                      <c:ptCount val="1"/>
                      <c:pt idx="0">
                        <c:v>Time (min)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'Analysis 2'!$D$2:$D$15</c15:sqref>
                        </c15:formulaRef>
                      </c:ext>
                    </c:extLst>
                    <c:numCache>
                      <c:formatCode>General</c:formatCode>
                      <c:ptCount val="14"/>
                      <c:pt idx="0">
                        <c:v>0.0</c:v>
                      </c:pt>
                      <c:pt idx="1">
                        <c:v>15.0</c:v>
                      </c:pt>
                      <c:pt idx="2">
                        <c:v>30.0</c:v>
                      </c:pt>
                      <c:pt idx="3">
                        <c:v>45.0</c:v>
                      </c:pt>
                      <c:pt idx="4">
                        <c:v>60.0</c:v>
                      </c:pt>
                      <c:pt idx="5">
                        <c:v>75.0</c:v>
                      </c:pt>
                      <c:pt idx="6">
                        <c:v>90.0</c:v>
                      </c:pt>
                      <c:pt idx="7">
                        <c:v>105.0</c:v>
                      </c:pt>
                      <c:pt idx="8">
                        <c:v>120.0</c:v>
                      </c:pt>
                      <c:pt idx="9">
                        <c:v>135.0</c:v>
                      </c:pt>
                      <c:pt idx="10">
                        <c:v>150.0</c:v>
                      </c:pt>
                      <c:pt idx="11">
                        <c:v>165.0</c:v>
                      </c:pt>
                      <c:pt idx="12">
                        <c:v>180.0</c:v>
                      </c:pt>
                      <c:pt idx="13">
                        <c:v>195.0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'Analysis 2'!$D$2:$D$15</c15:sqref>
                        </c15:formulaRef>
                      </c:ext>
                    </c:extLst>
                    <c:numCache>
                      <c:formatCode>General</c:formatCode>
                      <c:ptCount val="14"/>
                      <c:pt idx="0">
                        <c:v>0.0</c:v>
                      </c:pt>
                      <c:pt idx="1">
                        <c:v>15.0</c:v>
                      </c:pt>
                      <c:pt idx="2">
                        <c:v>30.0</c:v>
                      </c:pt>
                      <c:pt idx="3">
                        <c:v>45.0</c:v>
                      </c:pt>
                      <c:pt idx="4">
                        <c:v>60.0</c:v>
                      </c:pt>
                      <c:pt idx="5">
                        <c:v>75.0</c:v>
                      </c:pt>
                      <c:pt idx="6">
                        <c:v>90.0</c:v>
                      </c:pt>
                      <c:pt idx="7">
                        <c:v>105.0</c:v>
                      </c:pt>
                      <c:pt idx="8">
                        <c:v>120.0</c:v>
                      </c:pt>
                      <c:pt idx="9">
                        <c:v>135.0</c:v>
                      </c:pt>
                      <c:pt idx="10">
                        <c:v>150.0</c:v>
                      </c:pt>
                      <c:pt idx="11">
                        <c:v>165.0</c:v>
                      </c:pt>
                      <c:pt idx="12">
                        <c:v>180.0</c:v>
                      </c:pt>
                      <c:pt idx="13">
                        <c:v>195.0</c:v>
                      </c:pt>
                    </c:numCache>
                  </c:numRef>
                </c:val>
                <c:smooth val="0"/>
              </c15:ser>
            </c15:filteredLineSeries>
          </c:ext>
        </c:extLst>
      </c:lineChart>
      <c:catAx>
        <c:axId val="-2929061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(min)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92897744"/>
        <c:crosses val="autoZero"/>
        <c:auto val="1"/>
        <c:lblAlgn val="ctr"/>
        <c:lblOffset val="100"/>
        <c:noMultiLvlLbl val="0"/>
      </c:catAx>
      <c:valAx>
        <c:axId val="-292897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Herbaceous mass (g)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929061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Herbaceous Mass Over</a:t>
            </a:r>
            <a:r>
              <a:rPr lang="en-US" baseline="0"/>
              <a:t> Time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'Analysis 3'!$E$1</c:f>
              <c:strCache>
                <c:ptCount val="1"/>
                <c:pt idx="0">
                  <c:v>Weight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'Analysis 3'!$D$2:$D$11</c:f>
              <c:numCache>
                <c:formatCode>General</c:formatCode>
                <c:ptCount val="10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</c:numCache>
            </c:numRef>
          </c:cat>
          <c:val>
            <c:numRef>
              <c:f>'Analysis 3'!$E$2:$E$11</c:f>
              <c:numCache>
                <c:formatCode>General</c:formatCode>
                <c:ptCount val="10"/>
                <c:pt idx="0">
                  <c:v>41.17</c:v>
                </c:pt>
                <c:pt idx="1">
                  <c:v>33.71</c:v>
                </c:pt>
                <c:pt idx="2">
                  <c:v>30.81</c:v>
                </c:pt>
                <c:pt idx="3">
                  <c:v>29.08</c:v>
                </c:pt>
                <c:pt idx="4">
                  <c:v>27.8</c:v>
                </c:pt>
                <c:pt idx="5">
                  <c:v>26.77</c:v>
                </c:pt>
                <c:pt idx="6">
                  <c:v>26.08</c:v>
                </c:pt>
                <c:pt idx="7">
                  <c:v>25.38</c:v>
                </c:pt>
                <c:pt idx="8">
                  <c:v>24.16</c:v>
                </c:pt>
                <c:pt idx="9">
                  <c:v>23.8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92708352"/>
        <c:axId val="-292699968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'Analysis 3'!$D$1</c15:sqref>
                        </c15:formulaRef>
                      </c:ext>
                    </c:extLst>
                    <c:strCache>
                      <c:ptCount val="1"/>
                      <c:pt idx="0">
                        <c:v>Time (min)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'Analysis 3'!$D$2:$D$11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0.0</c:v>
                      </c:pt>
                      <c:pt idx="1">
                        <c:v>15.0</c:v>
                      </c:pt>
                      <c:pt idx="2">
                        <c:v>30.0</c:v>
                      </c:pt>
                      <c:pt idx="3">
                        <c:v>45.0</c:v>
                      </c:pt>
                      <c:pt idx="4">
                        <c:v>60.0</c:v>
                      </c:pt>
                      <c:pt idx="5">
                        <c:v>75.0</c:v>
                      </c:pt>
                      <c:pt idx="6">
                        <c:v>90.0</c:v>
                      </c:pt>
                      <c:pt idx="7">
                        <c:v>105.0</c:v>
                      </c:pt>
                      <c:pt idx="8">
                        <c:v>120.0</c:v>
                      </c:pt>
                      <c:pt idx="9">
                        <c:v>135.0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'Analysis 3'!$D$2:$D$11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0.0</c:v>
                      </c:pt>
                      <c:pt idx="1">
                        <c:v>15.0</c:v>
                      </c:pt>
                      <c:pt idx="2">
                        <c:v>30.0</c:v>
                      </c:pt>
                      <c:pt idx="3">
                        <c:v>45.0</c:v>
                      </c:pt>
                      <c:pt idx="4">
                        <c:v>60.0</c:v>
                      </c:pt>
                      <c:pt idx="5">
                        <c:v>75.0</c:v>
                      </c:pt>
                      <c:pt idx="6">
                        <c:v>90.0</c:v>
                      </c:pt>
                      <c:pt idx="7">
                        <c:v>105.0</c:v>
                      </c:pt>
                      <c:pt idx="8">
                        <c:v>120.0</c:v>
                      </c:pt>
                      <c:pt idx="9">
                        <c:v>135.0</c:v>
                      </c:pt>
                    </c:numCache>
                  </c:numRef>
                </c:val>
                <c:smooth val="0"/>
              </c15:ser>
            </c15:filteredLineSeries>
          </c:ext>
        </c:extLst>
      </c:lineChart>
      <c:catAx>
        <c:axId val="-2927083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(min)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92699968"/>
        <c:crosses val="autoZero"/>
        <c:auto val="1"/>
        <c:lblAlgn val="ctr"/>
        <c:lblOffset val="100"/>
        <c:noMultiLvlLbl val="0"/>
      </c:catAx>
      <c:valAx>
        <c:axId val="-292699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Herbaceous Mass (g)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927083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133349</xdr:colOff>
      <xdr:row>4</xdr:row>
      <xdr:rowOff>38100</xdr:rowOff>
    </xdr:from>
    <xdr:to>
      <xdr:col>20</xdr:col>
      <xdr:colOff>238124</xdr:colOff>
      <xdr:row>24</xdr:row>
      <xdr:rowOff>19050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481011</xdr:colOff>
      <xdr:row>1</xdr:row>
      <xdr:rowOff>171449</xdr:rowOff>
    </xdr:from>
    <xdr:to>
      <xdr:col>19</xdr:col>
      <xdr:colOff>47624</xdr:colOff>
      <xdr:row>21</xdr:row>
      <xdr:rowOff>66674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252411</xdr:colOff>
      <xdr:row>4</xdr:row>
      <xdr:rowOff>9524</xdr:rowOff>
    </xdr:from>
    <xdr:to>
      <xdr:col>19</xdr:col>
      <xdr:colOff>238124</xdr:colOff>
      <xdr:row>23</xdr:row>
      <xdr:rowOff>76199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workbookViewId="0">
      <selection activeCell="F3" sqref="F3:F22"/>
    </sheetView>
  </sheetViews>
  <sheetFormatPr baseColWidth="10" defaultColWidth="8.83203125" defaultRowHeight="15" x14ac:dyDescent="0.2"/>
  <cols>
    <col min="1" max="1" width="10.33203125" bestFit="1" customWidth="1"/>
    <col min="4" max="4" width="12.1640625" bestFit="1" customWidth="1"/>
    <col min="6" max="6" width="14.1640625" customWidth="1"/>
    <col min="7" max="7" width="14" customWidth="1"/>
    <col min="8" max="8" width="13.33203125" customWidth="1"/>
  </cols>
  <sheetData>
    <row r="1" spans="1:8" ht="30" x14ac:dyDescent="0.2">
      <c r="A1" t="s">
        <v>9</v>
      </c>
      <c r="B1" s="1" t="s">
        <v>10</v>
      </c>
      <c r="C1" t="s">
        <v>0</v>
      </c>
      <c r="D1" t="s">
        <v>29</v>
      </c>
      <c r="E1" t="s">
        <v>26</v>
      </c>
      <c r="F1" s="1" t="s">
        <v>31</v>
      </c>
      <c r="G1" s="1" t="s">
        <v>36</v>
      </c>
      <c r="H1" s="1" t="s">
        <v>37</v>
      </c>
    </row>
    <row r="2" spans="1:8" x14ac:dyDescent="0.2">
      <c r="A2" t="s">
        <v>27</v>
      </c>
      <c r="B2">
        <v>151</v>
      </c>
      <c r="C2" t="s">
        <v>28</v>
      </c>
      <c r="D2">
        <v>0</v>
      </c>
      <c r="E2">
        <v>217.75</v>
      </c>
      <c r="F2">
        <f>E2-E2</f>
        <v>0</v>
      </c>
      <c r="G2" s="7">
        <f>F2/E26</f>
        <v>0</v>
      </c>
      <c r="H2" s="7">
        <f>F2/90.94</f>
        <v>0</v>
      </c>
    </row>
    <row r="3" spans="1:8" x14ac:dyDescent="0.2">
      <c r="A3" t="s">
        <v>27</v>
      </c>
      <c r="B3">
        <v>151</v>
      </c>
      <c r="C3" t="s">
        <v>28</v>
      </c>
      <c r="D3">
        <v>15</v>
      </c>
      <c r="E3">
        <v>208.9</v>
      </c>
      <c r="F3">
        <f>E2-E3</f>
        <v>8.8499999999999943</v>
      </c>
      <c r="G3" s="7">
        <f>F3/E26</f>
        <v>9.7316912249834991E-2</v>
      </c>
      <c r="H3" s="7">
        <f>(F3+F2)/90.94</f>
        <v>9.7316912249834991E-2</v>
      </c>
    </row>
    <row r="4" spans="1:8" x14ac:dyDescent="0.2">
      <c r="A4" t="s">
        <v>27</v>
      </c>
      <c r="B4">
        <v>151</v>
      </c>
      <c r="C4" t="s">
        <v>28</v>
      </c>
      <c r="D4">
        <v>30</v>
      </c>
      <c r="E4">
        <v>201.21</v>
      </c>
      <c r="F4">
        <f>E3-E4</f>
        <v>7.6899999999999977</v>
      </c>
      <c r="G4" s="7">
        <f>F4/E26</f>
        <v>8.4561249175280379E-2</v>
      </c>
      <c r="H4" s="7">
        <f>(F4+F3+F2)/90.94</f>
        <v>0.18187816142511537</v>
      </c>
    </row>
    <row r="5" spans="1:8" x14ac:dyDescent="0.2">
      <c r="A5" t="s">
        <v>27</v>
      </c>
      <c r="B5">
        <v>151</v>
      </c>
      <c r="C5" t="s">
        <v>28</v>
      </c>
      <c r="D5">
        <v>45</v>
      </c>
      <c r="E5">
        <v>195.1</v>
      </c>
      <c r="F5">
        <f t="shared" ref="F5:F22" si="0">E4-E5</f>
        <v>6.1100000000000136</v>
      </c>
      <c r="G5" s="7">
        <f>F5/90.94</f>
        <v>6.7187156366835421E-2</v>
      </c>
      <c r="H5" s="7">
        <f>(F5+F4+F3+F2)/90.94</f>
        <v>0.24906531779195082</v>
      </c>
    </row>
    <row r="6" spans="1:8" x14ac:dyDescent="0.2">
      <c r="A6" t="s">
        <v>27</v>
      </c>
      <c r="B6">
        <v>151</v>
      </c>
      <c r="C6" t="s">
        <v>28</v>
      </c>
      <c r="D6">
        <v>60</v>
      </c>
      <c r="E6">
        <v>190.44</v>
      </c>
      <c r="F6">
        <f t="shared" si="0"/>
        <v>4.6599999999999966</v>
      </c>
      <c r="G6" s="7">
        <f>F6/90.94</f>
        <v>5.1242577523641926E-2</v>
      </c>
      <c r="H6" s="7">
        <f>(F6+F5+F4+F3)/90.94</f>
        <v>0.30030789531559271</v>
      </c>
    </row>
    <row r="7" spans="1:8" x14ac:dyDescent="0.2">
      <c r="A7" t="s">
        <v>27</v>
      </c>
      <c r="B7">
        <v>151</v>
      </c>
      <c r="C7" t="s">
        <v>28</v>
      </c>
      <c r="D7">
        <v>75</v>
      </c>
      <c r="E7">
        <v>185.1</v>
      </c>
      <c r="F7">
        <f t="shared" si="0"/>
        <v>5.3400000000000034</v>
      </c>
      <c r="G7" s="7">
        <f t="shared" ref="G7:G22" si="1">F7/90.94</f>
        <v>5.8720035188036104E-2</v>
      </c>
      <c r="H7" s="7">
        <f>(F7+F6+F5+F4+F3)/90.94</f>
        <v>0.35902793050362886</v>
      </c>
    </row>
    <row r="8" spans="1:8" x14ac:dyDescent="0.2">
      <c r="A8" t="s">
        <v>27</v>
      </c>
      <c r="B8">
        <v>151</v>
      </c>
      <c r="C8" t="s">
        <v>28</v>
      </c>
      <c r="D8">
        <v>90</v>
      </c>
      <c r="E8">
        <v>180.46</v>
      </c>
      <c r="F8">
        <f t="shared" si="0"/>
        <v>4.6399999999999864</v>
      </c>
      <c r="G8" s="7">
        <f t="shared" si="1"/>
        <v>5.1022652298218459E-2</v>
      </c>
      <c r="H8" s="7">
        <f>(F8+F7+F6+F5+F4+F3)/90.94</f>
        <v>0.41005058280184731</v>
      </c>
    </row>
    <row r="9" spans="1:8" x14ac:dyDescent="0.2">
      <c r="A9" t="s">
        <v>27</v>
      </c>
      <c r="B9">
        <v>151</v>
      </c>
      <c r="C9" t="s">
        <v>28</v>
      </c>
      <c r="D9">
        <v>105</v>
      </c>
      <c r="E9">
        <v>176.45</v>
      </c>
      <c r="F9">
        <f t="shared" si="0"/>
        <v>4.0100000000000193</v>
      </c>
      <c r="G9" s="7">
        <f t="shared" si="1"/>
        <v>4.4095007697383101E-2</v>
      </c>
      <c r="H9" s="7">
        <f>(F9+F8+F7+F6+F5+F4+F3)/90.94</f>
        <v>0.45414559049923042</v>
      </c>
    </row>
    <row r="10" spans="1:8" x14ac:dyDescent="0.2">
      <c r="A10" t="s">
        <v>27</v>
      </c>
      <c r="B10">
        <v>151</v>
      </c>
      <c r="C10" t="s">
        <v>28</v>
      </c>
      <c r="D10">
        <v>120</v>
      </c>
      <c r="E10">
        <v>170.1</v>
      </c>
      <c r="F10">
        <f t="shared" si="0"/>
        <v>6.3499999999999943</v>
      </c>
      <c r="G10" s="7">
        <f t="shared" si="1"/>
        <v>6.9826259071915489E-2</v>
      </c>
      <c r="H10" s="7">
        <f>(F10+F9+F8+F7+F6+F5+F4+F3)/90.94</f>
        <v>0.52397184957114584</v>
      </c>
    </row>
    <row r="11" spans="1:8" x14ac:dyDescent="0.2">
      <c r="A11" t="s">
        <v>27</v>
      </c>
      <c r="B11">
        <v>151</v>
      </c>
      <c r="C11" t="s">
        <v>28</v>
      </c>
      <c r="D11">
        <v>135</v>
      </c>
      <c r="E11">
        <v>165.33</v>
      </c>
      <c r="F11">
        <f t="shared" si="0"/>
        <v>4.7699999999999818</v>
      </c>
      <c r="G11" s="7">
        <f t="shared" si="1"/>
        <v>5.2452166263470219E-2</v>
      </c>
      <c r="H11" s="7">
        <f>(F11+F10+F9+F8+F7+F6+F5+F4+F3)/90.94</f>
        <v>0.57642401583461611</v>
      </c>
    </row>
    <row r="12" spans="1:8" x14ac:dyDescent="0.2">
      <c r="A12" t="s">
        <v>27</v>
      </c>
      <c r="B12">
        <v>151</v>
      </c>
      <c r="C12" t="s">
        <v>28</v>
      </c>
      <c r="D12">
        <v>150</v>
      </c>
      <c r="E12">
        <v>160.5</v>
      </c>
      <c r="F12">
        <f t="shared" si="0"/>
        <v>4.8300000000000125</v>
      </c>
      <c r="G12" s="7">
        <f t="shared" si="1"/>
        <v>5.3111941939740628E-2</v>
      </c>
      <c r="H12" s="7">
        <f>(F12+F11+F10+F9+F8+F7+F6+F5+F4+F3)/90.94</f>
        <v>0.62953595777435678</v>
      </c>
    </row>
    <row r="13" spans="1:8" x14ac:dyDescent="0.2">
      <c r="A13" t="s">
        <v>27</v>
      </c>
      <c r="B13">
        <v>151</v>
      </c>
      <c r="C13" t="s">
        <v>28</v>
      </c>
      <c r="D13">
        <v>165</v>
      </c>
      <c r="E13">
        <v>155.65</v>
      </c>
      <c r="F13">
        <f t="shared" si="0"/>
        <v>4.8499999999999943</v>
      </c>
      <c r="G13" s="7">
        <f t="shared" si="1"/>
        <v>5.3331867165163784E-2</v>
      </c>
      <c r="H13" s="7">
        <f>(F13+F12+F11+F10+F9+F8+F7+F6+F5+F4+F3)/90.94</f>
        <v>0.68286782493952047</v>
      </c>
    </row>
    <row r="14" spans="1:8" x14ac:dyDescent="0.2">
      <c r="A14" t="s">
        <v>27</v>
      </c>
      <c r="B14">
        <v>151</v>
      </c>
      <c r="C14" t="s">
        <v>28</v>
      </c>
      <c r="D14">
        <v>180</v>
      </c>
      <c r="E14">
        <v>151.34</v>
      </c>
      <c r="F14">
        <f t="shared" si="0"/>
        <v>4.3100000000000023</v>
      </c>
      <c r="G14" s="7">
        <f t="shared" si="1"/>
        <v>4.7393886078733259E-2</v>
      </c>
      <c r="H14" s="7">
        <f>(F14+F13+F12+F11+F10+F9+F8+F7+F6+F5+F4+F3)/90.94</f>
        <v>0.73026171101825377</v>
      </c>
    </row>
    <row r="15" spans="1:8" x14ac:dyDescent="0.2">
      <c r="A15" t="s">
        <v>27</v>
      </c>
      <c r="B15">
        <v>151</v>
      </c>
      <c r="C15" t="s">
        <v>28</v>
      </c>
      <c r="D15">
        <v>195</v>
      </c>
      <c r="E15">
        <v>147.66</v>
      </c>
      <c r="F15">
        <f t="shared" si="0"/>
        <v>3.6800000000000068</v>
      </c>
      <c r="G15" s="7">
        <f t="shared" si="1"/>
        <v>4.046624147789759E-2</v>
      </c>
      <c r="H15" s="7">
        <f>(F15+F14+F13+F12+F11+F10+F9+F8+F7+F6+F5+F4+F3)/90.94</f>
        <v>0.77072795249615134</v>
      </c>
    </row>
    <row r="16" spans="1:8" x14ac:dyDescent="0.2">
      <c r="A16" t="s">
        <v>27</v>
      </c>
      <c r="B16">
        <v>151</v>
      </c>
      <c r="C16" t="s">
        <v>28</v>
      </c>
      <c r="D16">
        <v>210</v>
      </c>
      <c r="E16">
        <v>142.82</v>
      </c>
      <c r="F16">
        <f t="shared" si="0"/>
        <v>4.8400000000000034</v>
      </c>
      <c r="G16" s="7">
        <f t="shared" si="1"/>
        <v>5.3221904552452202E-2</v>
      </c>
      <c r="H16" s="7">
        <f>(F16+F15+F14+F13+F12+F11+F10+F9+F8+F7+F6+F5+F4+F3)/90.94</f>
        <v>0.82394985704860357</v>
      </c>
    </row>
    <row r="17" spans="1:8" x14ac:dyDescent="0.2">
      <c r="A17" t="s">
        <v>27</v>
      </c>
      <c r="B17">
        <v>151</v>
      </c>
      <c r="C17" t="s">
        <v>28</v>
      </c>
      <c r="D17">
        <v>225</v>
      </c>
      <c r="E17">
        <v>139.85</v>
      </c>
      <c r="F17">
        <f t="shared" si="0"/>
        <v>2.9699999999999989</v>
      </c>
      <c r="G17" s="7">
        <f t="shared" si="1"/>
        <v>3.2658895975368363E-2</v>
      </c>
      <c r="H17" s="7">
        <f>(F17+F16+F15+F14+F13+F12+F11+F10+F9+F8+F7+F6+F5+F4+F3)/90.94</f>
        <v>0.85660875302397188</v>
      </c>
    </row>
    <row r="18" spans="1:8" x14ac:dyDescent="0.2">
      <c r="A18" t="s">
        <v>27</v>
      </c>
      <c r="B18">
        <v>151</v>
      </c>
      <c r="C18" t="s">
        <v>28</v>
      </c>
      <c r="D18">
        <v>240</v>
      </c>
      <c r="E18">
        <v>136.65</v>
      </c>
      <c r="F18">
        <f t="shared" si="0"/>
        <v>3.1999999999999886</v>
      </c>
      <c r="G18" s="7">
        <f t="shared" si="1"/>
        <v>3.5188036067736843E-2</v>
      </c>
      <c r="H18" s="7">
        <f>(F18+F17+F16+F15+F14+F13+F12+F11+F10+F9+F8+F7+F6+F5+F4+F3)/90.94</f>
        <v>0.89179678909170879</v>
      </c>
    </row>
    <row r="19" spans="1:8" x14ac:dyDescent="0.2">
      <c r="A19" t="s">
        <v>27</v>
      </c>
      <c r="B19">
        <v>151</v>
      </c>
      <c r="C19" t="s">
        <v>28</v>
      </c>
      <c r="D19">
        <v>255</v>
      </c>
      <c r="E19">
        <v>133.65</v>
      </c>
      <c r="F19">
        <f t="shared" si="0"/>
        <v>3</v>
      </c>
      <c r="G19" s="7">
        <f t="shared" si="1"/>
        <v>3.2988783813503411E-2</v>
      </c>
      <c r="H19" s="7">
        <f>(F19+F18+F17+F16+F15+F14+F13+F12+F11+F10+F9+F8+F7+F6+F5+F4+F3)/90.94</f>
        <v>0.92478557290521224</v>
      </c>
    </row>
    <row r="20" spans="1:8" x14ac:dyDescent="0.2">
      <c r="A20" t="s">
        <v>27</v>
      </c>
      <c r="B20">
        <v>151</v>
      </c>
      <c r="C20" t="s">
        <v>28</v>
      </c>
      <c r="D20">
        <v>270</v>
      </c>
      <c r="E20">
        <v>131.02000000000001</v>
      </c>
      <c r="F20">
        <f t="shared" si="0"/>
        <v>2.6299999999999955</v>
      </c>
      <c r="G20" s="7">
        <f t="shared" si="1"/>
        <v>2.8920167143171274E-2</v>
      </c>
      <c r="H20" s="7">
        <f>(F20+F19+F18+F17+F16+F15+F14+F13+F12+F11+F10+F9+F8+F7+F6+F5+F4+F3)/90.94</f>
        <v>0.95370574004838349</v>
      </c>
    </row>
    <row r="21" spans="1:8" x14ac:dyDescent="0.2">
      <c r="A21" t="s">
        <v>27</v>
      </c>
      <c r="B21">
        <v>151</v>
      </c>
      <c r="C21" t="s">
        <v>28</v>
      </c>
      <c r="D21">
        <v>285</v>
      </c>
      <c r="E21">
        <v>128.55000000000001</v>
      </c>
      <c r="F21">
        <f t="shared" si="0"/>
        <v>2.4699999999999989</v>
      </c>
      <c r="G21" s="7">
        <f t="shared" si="1"/>
        <v>2.7160765339784461E-2</v>
      </c>
      <c r="H21" s="7">
        <f>(F21+F20+F19+F18+F17+F16+F15+F14+F13+F12+F11+F10+F9+F8+F7+F6+F5+F4+F3)/90.94</f>
        <v>0.98086650538816789</v>
      </c>
    </row>
    <row r="22" spans="1:8" x14ac:dyDescent="0.2">
      <c r="A22" t="s">
        <v>27</v>
      </c>
      <c r="B22">
        <v>151</v>
      </c>
      <c r="C22" t="s">
        <v>28</v>
      </c>
      <c r="D22">
        <v>300</v>
      </c>
      <c r="E22">
        <v>126.81</v>
      </c>
      <c r="F22">
        <f t="shared" si="0"/>
        <v>1.7400000000000091</v>
      </c>
      <c r="G22" s="7">
        <f t="shared" si="1"/>
        <v>1.9133494611832079E-2</v>
      </c>
      <c r="H22" s="7">
        <f>(F22+F21+F20+F19+F18+F17+F16+F15+F14+F13+F12+F11+F10+F9+F8+F7+F6+F5+F4+F3)/90.94</f>
        <v>1</v>
      </c>
    </row>
    <row r="23" spans="1:8" x14ac:dyDescent="0.2">
      <c r="D23" t="s">
        <v>23</v>
      </c>
      <c r="E23">
        <v>126.81</v>
      </c>
      <c r="G23" s="8"/>
    </row>
    <row r="26" spans="1:8" x14ac:dyDescent="0.2">
      <c r="C26" s="9" t="s">
        <v>32</v>
      </c>
      <c r="D26" s="9"/>
      <c r="E26">
        <f>E2-E23</f>
        <v>90.94</v>
      </c>
    </row>
  </sheetData>
  <mergeCells count="1">
    <mergeCell ref="C26:D26"/>
  </mergeCells>
  <pageMargins left="0.7" right="0.7" top="0.75" bottom="0.75" header="0.3" footer="0.3"/>
  <pageSetup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workbookViewId="0">
      <selection activeCell="F3" sqref="F3:F15"/>
    </sheetView>
  </sheetViews>
  <sheetFormatPr baseColWidth="10" defaultColWidth="8.83203125" defaultRowHeight="15" x14ac:dyDescent="0.2"/>
  <cols>
    <col min="1" max="1" width="10.33203125" bestFit="1" customWidth="1"/>
    <col min="4" max="4" width="12.1640625" bestFit="1" customWidth="1"/>
    <col min="6" max="6" width="14.1640625" customWidth="1"/>
    <col min="7" max="7" width="14" customWidth="1"/>
  </cols>
  <sheetData>
    <row r="1" spans="1:8" ht="45" x14ac:dyDescent="0.2">
      <c r="A1" t="s">
        <v>9</v>
      </c>
      <c r="B1" s="1" t="s">
        <v>10</v>
      </c>
      <c r="C1" t="s">
        <v>0</v>
      </c>
      <c r="D1" t="s">
        <v>29</v>
      </c>
      <c r="E1" t="s">
        <v>26</v>
      </c>
      <c r="F1" s="1" t="s">
        <v>31</v>
      </c>
      <c r="G1" s="1" t="s">
        <v>36</v>
      </c>
      <c r="H1" s="1" t="s">
        <v>37</v>
      </c>
    </row>
    <row r="2" spans="1:8" x14ac:dyDescent="0.2">
      <c r="A2" t="s">
        <v>30</v>
      </c>
      <c r="B2">
        <v>145</v>
      </c>
      <c r="C2" t="s">
        <v>33</v>
      </c>
      <c r="D2">
        <v>0</v>
      </c>
      <c r="E2">
        <v>145.58000000000001</v>
      </c>
      <c r="F2">
        <f>E2-E2</f>
        <v>0</v>
      </c>
      <c r="G2" s="7">
        <f>F2/E26</f>
        <v>0</v>
      </c>
      <c r="H2" s="7">
        <f>F2/E26</f>
        <v>0</v>
      </c>
    </row>
    <row r="3" spans="1:8" x14ac:dyDescent="0.2">
      <c r="A3" t="s">
        <v>30</v>
      </c>
      <c r="B3">
        <v>145</v>
      </c>
      <c r="C3" t="s">
        <v>33</v>
      </c>
      <c r="D3">
        <v>15</v>
      </c>
      <c r="E3">
        <v>132.68</v>
      </c>
      <c r="F3">
        <f>E2-E3</f>
        <v>12.900000000000006</v>
      </c>
      <c r="G3" s="7">
        <f>F3/78.13</f>
        <v>0.16510943299628833</v>
      </c>
      <c r="H3" s="7">
        <f>(F3+F2)/E26</f>
        <v>0.1651094329962883</v>
      </c>
    </row>
    <row r="4" spans="1:8" x14ac:dyDescent="0.2">
      <c r="A4" t="s">
        <v>30</v>
      </c>
      <c r="B4">
        <v>145</v>
      </c>
      <c r="C4" t="s">
        <v>33</v>
      </c>
      <c r="D4">
        <v>30</v>
      </c>
      <c r="E4">
        <v>123.11</v>
      </c>
      <c r="F4">
        <f>E3-E4</f>
        <v>9.5700000000000074</v>
      </c>
      <c r="G4" s="7">
        <f>F4/78.13</f>
        <v>0.12248816075771161</v>
      </c>
      <c r="H4" s="7">
        <f>(F4+F3+F2)/E26</f>
        <v>0.2875975937539999</v>
      </c>
    </row>
    <row r="5" spans="1:8" x14ac:dyDescent="0.2">
      <c r="A5" t="s">
        <v>30</v>
      </c>
      <c r="B5">
        <v>145</v>
      </c>
      <c r="C5" t="s">
        <v>33</v>
      </c>
      <c r="D5">
        <v>45</v>
      </c>
      <c r="E5">
        <v>113.42</v>
      </c>
      <c r="F5">
        <f t="shared" ref="F5:F15" si="0">E4-E5</f>
        <v>9.6899999999999977</v>
      </c>
      <c r="G5" s="7">
        <f t="shared" ref="G5:G15" si="1">F5/78.13</f>
        <v>0.12402406246000254</v>
      </c>
      <c r="H5" s="7">
        <f>(F5+F4+F3+F2)/E26</f>
        <v>0.41162165621400237</v>
      </c>
    </row>
    <row r="6" spans="1:8" x14ac:dyDescent="0.2">
      <c r="A6" t="s">
        <v>30</v>
      </c>
      <c r="B6">
        <v>145</v>
      </c>
      <c r="C6" t="s">
        <v>33</v>
      </c>
      <c r="D6">
        <v>60</v>
      </c>
      <c r="E6">
        <v>108.85</v>
      </c>
      <c r="F6">
        <f t="shared" si="0"/>
        <v>4.5700000000000074</v>
      </c>
      <c r="G6" s="7">
        <f t="shared" si="1"/>
        <v>5.8492256495584379E-2</v>
      </c>
      <c r="H6" s="7">
        <f>(F6+F5+F4+F3)/E26</f>
        <v>0.47011391270958675</v>
      </c>
    </row>
    <row r="7" spans="1:8" x14ac:dyDescent="0.2">
      <c r="A7" t="s">
        <v>30</v>
      </c>
      <c r="B7">
        <v>145</v>
      </c>
      <c r="C7" t="s">
        <v>33</v>
      </c>
      <c r="D7">
        <v>75</v>
      </c>
      <c r="E7">
        <v>102.87</v>
      </c>
      <c r="F7">
        <f t="shared" si="0"/>
        <v>5.9799999999999898</v>
      </c>
      <c r="G7" s="7">
        <f t="shared" si="1"/>
        <v>7.6539101497504036E-2</v>
      </c>
      <c r="H7" s="7">
        <f>(F7+F6+F5+F4+F3)/E26</f>
        <v>0.54665301420709078</v>
      </c>
    </row>
    <row r="8" spans="1:8" x14ac:dyDescent="0.2">
      <c r="A8" t="s">
        <v>30</v>
      </c>
      <c r="B8">
        <v>145</v>
      </c>
      <c r="C8" t="s">
        <v>33</v>
      </c>
      <c r="D8">
        <v>90</v>
      </c>
      <c r="E8">
        <v>97.06</v>
      </c>
      <c r="F8">
        <f t="shared" si="0"/>
        <v>5.8100000000000023</v>
      </c>
      <c r="G8" s="7">
        <f t="shared" si="1"/>
        <v>7.4363240752591861E-2</v>
      </c>
      <c r="H8" s="7">
        <f>(F8+F7+F6+F5+F4+F3)/E26</f>
        <v>0.6210162549596826</v>
      </c>
    </row>
    <row r="9" spans="1:8" x14ac:dyDescent="0.2">
      <c r="A9" t="s">
        <v>30</v>
      </c>
      <c r="B9">
        <v>145</v>
      </c>
      <c r="C9" t="s">
        <v>33</v>
      </c>
      <c r="D9">
        <v>105</v>
      </c>
      <c r="E9">
        <v>93.7</v>
      </c>
      <c r="F9">
        <f t="shared" si="0"/>
        <v>3.3599999999999994</v>
      </c>
      <c r="G9" s="7">
        <f t="shared" si="1"/>
        <v>4.3005247664149489E-2</v>
      </c>
      <c r="H9" s="7">
        <f>(F9+F8+F7+F6+F5+F4+F3)/E26</f>
        <v>0.66402150262383208</v>
      </c>
    </row>
    <row r="10" spans="1:8" x14ac:dyDescent="0.2">
      <c r="A10" t="s">
        <v>30</v>
      </c>
      <c r="B10">
        <v>145</v>
      </c>
      <c r="C10" t="s">
        <v>33</v>
      </c>
      <c r="D10">
        <v>120</v>
      </c>
      <c r="E10">
        <v>90.01</v>
      </c>
      <c r="F10">
        <f t="shared" si="0"/>
        <v>3.6899999999999977</v>
      </c>
      <c r="G10" s="7">
        <f t="shared" si="1"/>
        <v>4.7228977345449862E-2</v>
      </c>
      <c r="H10" s="7">
        <f>(F10+F9+F8+F7+F6+F5+F4+F3)/E26</f>
        <v>0.71125047996928192</v>
      </c>
    </row>
    <row r="11" spans="1:8" x14ac:dyDescent="0.2">
      <c r="A11" t="s">
        <v>30</v>
      </c>
      <c r="B11">
        <v>145</v>
      </c>
      <c r="C11" t="s">
        <v>33</v>
      </c>
      <c r="D11">
        <v>135</v>
      </c>
      <c r="E11">
        <v>81.93</v>
      </c>
      <c r="F11">
        <f t="shared" si="0"/>
        <v>8.0799999999999983</v>
      </c>
      <c r="G11" s="7">
        <f t="shared" si="1"/>
        <v>0.10341738128759757</v>
      </c>
      <c r="H11" s="7">
        <f>(F11+F10+F9+F8+F7+F6+F5+F4+F3)/E26</f>
        <v>0.81466786125687951</v>
      </c>
    </row>
    <row r="12" spans="1:8" x14ac:dyDescent="0.2">
      <c r="A12" t="s">
        <v>30</v>
      </c>
      <c r="B12">
        <v>145</v>
      </c>
      <c r="C12" t="s">
        <v>33</v>
      </c>
      <c r="D12">
        <v>150</v>
      </c>
      <c r="E12">
        <v>77.599999999999994</v>
      </c>
      <c r="F12">
        <f t="shared" si="0"/>
        <v>4.3300000000000125</v>
      </c>
      <c r="G12" s="7">
        <f t="shared" si="1"/>
        <v>5.5420453091002339E-2</v>
      </c>
      <c r="H12" s="7">
        <f>(F12+F11+F10+F9+F8+F7+F6+F5+F4+F3)/E26</f>
        <v>0.87008831434788181</v>
      </c>
    </row>
    <row r="13" spans="1:8" x14ac:dyDescent="0.2">
      <c r="A13" t="s">
        <v>30</v>
      </c>
      <c r="B13">
        <v>145</v>
      </c>
      <c r="C13" t="s">
        <v>33</v>
      </c>
      <c r="D13">
        <v>165</v>
      </c>
      <c r="E13">
        <v>73.489999999999995</v>
      </c>
      <c r="F13">
        <f t="shared" si="0"/>
        <v>4.1099999999999994</v>
      </c>
      <c r="G13" s="7">
        <f t="shared" si="1"/>
        <v>5.2604633303468575E-2</v>
      </c>
      <c r="H13" s="7">
        <f>(F13+F12+F11+F10+F9+F8+F7+F6+F5+F4+F3)/E26</f>
        <v>0.92269294765135046</v>
      </c>
    </row>
    <row r="14" spans="1:8" x14ac:dyDescent="0.2">
      <c r="A14" t="s">
        <v>30</v>
      </c>
      <c r="B14">
        <v>145</v>
      </c>
      <c r="C14" t="s">
        <v>33</v>
      </c>
      <c r="D14">
        <v>180</v>
      </c>
      <c r="E14">
        <v>68.58</v>
      </c>
      <c r="F14">
        <f t="shared" si="0"/>
        <v>4.9099999999999966</v>
      </c>
      <c r="G14" s="7">
        <f t="shared" si="1"/>
        <v>6.2843977985408889E-2</v>
      </c>
      <c r="H14" s="7">
        <f>(F14+F13+F12+F11+F10+F9+F8+F7+F6+F5+F4+F3)/E26</f>
        <v>0.98553692563675932</v>
      </c>
    </row>
    <row r="15" spans="1:8" x14ac:dyDescent="0.2">
      <c r="A15" t="s">
        <v>30</v>
      </c>
      <c r="B15">
        <v>145</v>
      </c>
      <c r="C15" t="s">
        <v>33</v>
      </c>
      <c r="D15">
        <v>195</v>
      </c>
      <c r="E15">
        <v>67.45</v>
      </c>
      <c r="F15">
        <f t="shared" si="0"/>
        <v>1.1299999999999955</v>
      </c>
      <c r="G15" s="7">
        <f t="shared" si="1"/>
        <v>1.4463074363240696E-2</v>
      </c>
      <c r="H15" s="7">
        <f>(F15+F14+F13+F12+F11+F10+F9+F8+F7+F6+F5+F4+F3)/E26</f>
        <v>1</v>
      </c>
    </row>
    <row r="16" spans="1:8" x14ac:dyDescent="0.2">
      <c r="A16" t="s">
        <v>30</v>
      </c>
      <c r="B16">
        <v>145</v>
      </c>
      <c r="C16" t="s">
        <v>33</v>
      </c>
      <c r="D16">
        <v>210</v>
      </c>
      <c r="G16" s="7"/>
      <c r="H16" s="7"/>
    </row>
    <row r="17" spans="1:8" x14ac:dyDescent="0.2">
      <c r="A17" t="s">
        <v>30</v>
      </c>
      <c r="B17">
        <v>145</v>
      </c>
      <c r="C17" t="s">
        <v>33</v>
      </c>
      <c r="D17">
        <v>225</v>
      </c>
      <c r="G17" s="7"/>
      <c r="H17" s="7"/>
    </row>
    <row r="18" spans="1:8" x14ac:dyDescent="0.2">
      <c r="A18" t="s">
        <v>30</v>
      </c>
      <c r="B18">
        <v>145</v>
      </c>
      <c r="C18" t="s">
        <v>33</v>
      </c>
      <c r="D18">
        <v>240</v>
      </c>
      <c r="G18" s="7"/>
      <c r="H18" s="7"/>
    </row>
    <row r="19" spans="1:8" x14ac:dyDescent="0.2">
      <c r="A19" t="s">
        <v>30</v>
      </c>
      <c r="B19">
        <v>145</v>
      </c>
      <c r="C19" t="s">
        <v>33</v>
      </c>
      <c r="D19">
        <v>255</v>
      </c>
      <c r="G19" s="7"/>
      <c r="H19" s="7"/>
    </row>
    <row r="20" spans="1:8" x14ac:dyDescent="0.2">
      <c r="A20" t="s">
        <v>30</v>
      </c>
      <c r="B20">
        <v>145</v>
      </c>
      <c r="C20" t="s">
        <v>33</v>
      </c>
      <c r="D20">
        <v>270</v>
      </c>
      <c r="G20" s="7"/>
      <c r="H20" s="7"/>
    </row>
    <row r="21" spans="1:8" x14ac:dyDescent="0.2">
      <c r="A21" t="s">
        <v>30</v>
      </c>
      <c r="B21">
        <v>145</v>
      </c>
      <c r="C21" t="s">
        <v>33</v>
      </c>
      <c r="D21">
        <v>285</v>
      </c>
      <c r="G21" s="7"/>
      <c r="H21" s="7"/>
    </row>
    <row r="22" spans="1:8" x14ac:dyDescent="0.2">
      <c r="A22" t="s">
        <v>30</v>
      </c>
      <c r="B22">
        <v>145</v>
      </c>
      <c r="C22" t="s">
        <v>33</v>
      </c>
      <c r="D22">
        <v>300</v>
      </c>
      <c r="G22" s="7"/>
      <c r="H22" s="7"/>
    </row>
    <row r="23" spans="1:8" x14ac:dyDescent="0.2">
      <c r="D23" t="s">
        <v>23</v>
      </c>
      <c r="E23">
        <v>67.45</v>
      </c>
      <c r="G23" s="8"/>
    </row>
    <row r="26" spans="1:8" x14ac:dyDescent="0.2">
      <c r="C26" s="9" t="s">
        <v>32</v>
      </c>
      <c r="D26" s="9"/>
      <c r="E26">
        <f>E2-E23</f>
        <v>78.13000000000001</v>
      </c>
    </row>
  </sheetData>
  <mergeCells count="1">
    <mergeCell ref="C26:D26"/>
  </mergeCells>
  <pageMargins left="0.7" right="0.7" top="0.75" bottom="0.75" header="0.3" footer="0.3"/>
  <pageSetup orientation="portrait" horizontalDpi="0" verticalDpi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workbookViewId="0">
      <selection activeCell="F3" sqref="F3:F11"/>
    </sheetView>
  </sheetViews>
  <sheetFormatPr baseColWidth="10" defaultColWidth="8.83203125" defaultRowHeight="15" x14ac:dyDescent="0.2"/>
  <cols>
    <col min="1" max="1" width="10.33203125" bestFit="1" customWidth="1"/>
    <col min="4" max="4" width="12.1640625" bestFit="1" customWidth="1"/>
    <col min="6" max="6" width="14.1640625" customWidth="1"/>
    <col min="7" max="7" width="14" customWidth="1"/>
  </cols>
  <sheetData>
    <row r="1" spans="1:8" ht="45" x14ac:dyDescent="0.2">
      <c r="A1" t="s">
        <v>9</v>
      </c>
      <c r="B1" s="1" t="s">
        <v>10</v>
      </c>
      <c r="C1" t="s">
        <v>0</v>
      </c>
      <c r="D1" t="s">
        <v>29</v>
      </c>
      <c r="E1" t="s">
        <v>26</v>
      </c>
      <c r="F1" s="1" t="s">
        <v>31</v>
      </c>
      <c r="G1" s="1" t="s">
        <v>38</v>
      </c>
      <c r="H1" s="1" t="s">
        <v>37</v>
      </c>
    </row>
    <row r="2" spans="1:8" x14ac:dyDescent="0.2">
      <c r="A2" t="s">
        <v>34</v>
      </c>
      <c r="B2">
        <v>175</v>
      </c>
      <c r="C2" t="s">
        <v>35</v>
      </c>
      <c r="D2">
        <v>0</v>
      </c>
      <c r="E2">
        <v>41.17</v>
      </c>
      <c r="F2">
        <f>E2-E2</f>
        <v>0</v>
      </c>
      <c r="G2" s="7">
        <f>F2/17.37</f>
        <v>0</v>
      </c>
      <c r="H2" s="7">
        <f>F2/E26</f>
        <v>0</v>
      </c>
    </row>
    <row r="3" spans="1:8" x14ac:dyDescent="0.2">
      <c r="A3" t="s">
        <v>34</v>
      </c>
      <c r="B3">
        <v>175</v>
      </c>
      <c r="C3" t="s">
        <v>35</v>
      </c>
      <c r="D3">
        <v>15</v>
      </c>
      <c r="E3">
        <v>33.71</v>
      </c>
      <c r="F3">
        <f>E2-E3</f>
        <v>7.4600000000000009</v>
      </c>
      <c r="G3" s="7">
        <f>F3/17.37</f>
        <v>0.42947610823258492</v>
      </c>
      <c r="H3" s="7">
        <f>(F3+'Analysis 3'!F2)/E26</f>
        <v>0.42947610823258492</v>
      </c>
    </row>
    <row r="4" spans="1:8" x14ac:dyDescent="0.2">
      <c r="A4" t="s">
        <v>34</v>
      </c>
      <c r="B4">
        <v>175</v>
      </c>
      <c r="C4" t="s">
        <v>35</v>
      </c>
      <c r="D4">
        <v>30</v>
      </c>
      <c r="E4">
        <v>30.81</v>
      </c>
      <c r="F4">
        <f t="shared" ref="F4:F11" si="0">E3-E4</f>
        <v>2.9000000000000021</v>
      </c>
      <c r="G4" s="7">
        <f t="shared" ref="G4:G11" si="1">F4/17.37</f>
        <v>0.16695451928612562</v>
      </c>
      <c r="H4" s="7">
        <f>(F4+F3+F2)/E26</f>
        <v>0.59643062751871057</v>
      </c>
    </row>
    <row r="5" spans="1:8" x14ac:dyDescent="0.2">
      <c r="A5" t="s">
        <v>34</v>
      </c>
      <c r="B5">
        <v>175</v>
      </c>
      <c r="C5" t="s">
        <v>35</v>
      </c>
      <c r="D5">
        <v>45</v>
      </c>
      <c r="E5">
        <v>29.08</v>
      </c>
      <c r="F5">
        <f t="shared" si="0"/>
        <v>1.7300000000000004</v>
      </c>
      <c r="G5" s="7">
        <f t="shared" si="1"/>
        <v>9.9597006332757643E-2</v>
      </c>
      <c r="H5" s="7">
        <f>(F5+F4+F3+F2)/E26</f>
        <v>0.69602763385146815</v>
      </c>
    </row>
    <row r="6" spans="1:8" x14ac:dyDescent="0.2">
      <c r="A6" t="s">
        <v>34</v>
      </c>
      <c r="B6">
        <v>175</v>
      </c>
      <c r="C6" t="s">
        <v>35</v>
      </c>
      <c r="D6">
        <v>60</v>
      </c>
      <c r="E6">
        <v>27.8</v>
      </c>
      <c r="F6">
        <f t="shared" si="0"/>
        <v>1.2799999999999976</v>
      </c>
      <c r="G6" s="7">
        <f t="shared" si="1"/>
        <v>7.3690270581462144E-2</v>
      </c>
      <c r="H6" s="7">
        <f>(F6+F5+F4+F3)/E26</f>
        <v>0.76971790443293031</v>
      </c>
    </row>
    <row r="7" spans="1:8" x14ac:dyDescent="0.2">
      <c r="A7" t="s">
        <v>34</v>
      </c>
      <c r="B7">
        <v>175</v>
      </c>
      <c r="C7" t="s">
        <v>35</v>
      </c>
      <c r="D7">
        <v>75</v>
      </c>
      <c r="E7">
        <v>26.77</v>
      </c>
      <c r="F7">
        <f t="shared" si="0"/>
        <v>1.0300000000000011</v>
      </c>
      <c r="G7" s="7">
        <f t="shared" si="1"/>
        <v>5.9297639608520497E-2</v>
      </c>
      <c r="H7" s="7">
        <f>(F7+F6+F5+F4+F3)/E26</f>
        <v>0.82901554404145084</v>
      </c>
    </row>
    <row r="8" spans="1:8" x14ac:dyDescent="0.2">
      <c r="A8" t="s">
        <v>34</v>
      </c>
      <c r="B8">
        <v>175</v>
      </c>
      <c r="C8" t="s">
        <v>35</v>
      </c>
      <c r="D8">
        <v>90</v>
      </c>
      <c r="E8">
        <v>26.08</v>
      </c>
      <c r="F8">
        <f t="shared" si="0"/>
        <v>0.69000000000000128</v>
      </c>
      <c r="G8" s="7">
        <f t="shared" si="1"/>
        <v>3.972366148531959E-2</v>
      </c>
      <c r="H8" s="7">
        <f>(F8+F7+F6+F5+F4+F3)/E26</f>
        <v>0.86873920552677042</v>
      </c>
    </row>
    <row r="9" spans="1:8" x14ac:dyDescent="0.2">
      <c r="A9" t="s">
        <v>34</v>
      </c>
      <c r="B9">
        <v>175</v>
      </c>
      <c r="C9" t="s">
        <v>35</v>
      </c>
      <c r="D9">
        <v>105</v>
      </c>
      <c r="E9">
        <v>25.38</v>
      </c>
      <c r="F9">
        <f t="shared" si="0"/>
        <v>0.69999999999999929</v>
      </c>
      <c r="G9" s="7">
        <f t="shared" si="1"/>
        <v>4.0299366724237146E-2</v>
      </c>
      <c r="H9" s="7">
        <f>(F9+F8+F7+F6+F5+F4+F3)/E26</f>
        <v>0.90903857225100759</v>
      </c>
    </row>
    <row r="10" spans="1:8" x14ac:dyDescent="0.2">
      <c r="A10" t="s">
        <v>34</v>
      </c>
      <c r="B10">
        <v>175</v>
      </c>
      <c r="C10" t="s">
        <v>35</v>
      </c>
      <c r="D10">
        <v>120</v>
      </c>
      <c r="E10">
        <v>24.16</v>
      </c>
      <c r="F10">
        <f t="shared" si="0"/>
        <v>1.2199999999999989</v>
      </c>
      <c r="G10" s="7">
        <f t="shared" si="1"/>
        <v>7.0236039147956175E-2</v>
      </c>
      <c r="H10" s="7">
        <f>(F10+F9+F8+F7+F6+F5+F4+F3)/E26</f>
        <v>0.97927461139896377</v>
      </c>
    </row>
    <row r="11" spans="1:8" x14ac:dyDescent="0.2">
      <c r="A11" t="s">
        <v>34</v>
      </c>
      <c r="B11">
        <v>175</v>
      </c>
      <c r="C11" t="s">
        <v>35</v>
      </c>
      <c r="D11">
        <v>135</v>
      </c>
      <c r="E11">
        <v>23.8</v>
      </c>
      <c r="F11">
        <f t="shared" si="0"/>
        <v>0.35999999999999943</v>
      </c>
      <c r="G11" s="7">
        <f t="shared" si="1"/>
        <v>2.0725388601036236E-2</v>
      </c>
      <c r="H11" s="7">
        <f>(F11+F10+F9+F8+F7+F6+F5+F4+F3)/E26</f>
        <v>1</v>
      </c>
    </row>
    <row r="12" spans="1:8" x14ac:dyDescent="0.2">
      <c r="A12" t="s">
        <v>34</v>
      </c>
      <c r="B12">
        <v>175</v>
      </c>
      <c r="C12" t="s">
        <v>35</v>
      </c>
      <c r="D12">
        <v>150</v>
      </c>
      <c r="G12" s="7"/>
      <c r="H12" s="7"/>
    </row>
    <row r="13" spans="1:8" x14ac:dyDescent="0.2">
      <c r="A13" t="s">
        <v>34</v>
      </c>
      <c r="B13">
        <v>175</v>
      </c>
      <c r="C13" t="s">
        <v>35</v>
      </c>
      <c r="D13">
        <v>165</v>
      </c>
      <c r="G13" s="7"/>
      <c r="H13" s="7"/>
    </row>
    <row r="14" spans="1:8" x14ac:dyDescent="0.2">
      <c r="A14" t="s">
        <v>34</v>
      </c>
      <c r="B14">
        <v>175</v>
      </c>
      <c r="C14" t="s">
        <v>35</v>
      </c>
      <c r="D14">
        <v>180</v>
      </c>
      <c r="G14" s="7"/>
      <c r="H14" s="7"/>
    </row>
    <row r="15" spans="1:8" x14ac:dyDescent="0.2">
      <c r="A15" t="s">
        <v>34</v>
      </c>
      <c r="B15">
        <v>175</v>
      </c>
      <c r="C15" t="s">
        <v>35</v>
      </c>
      <c r="D15">
        <v>195</v>
      </c>
      <c r="G15" s="7"/>
      <c r="H15" s="7"/>
    </row>
    <row r="16" spans="1:8" x14ac:dyDescent="0.2">
      <c r="A16" t="s">
        <v>34</v>
      </c>
      <c r="B16">
        <v>175</v>
      </c>
      <c r="C16" t="s">
        <v>35</v>
      </c>
      <c r="D16">
        <v>210</v>
      </c>
      <c r="G16" s="7"/>
    </row>
    <row r="17" spans="1:7" x14ac:dyDescent="0.2">
      <c r="A17" t="s">
        <v>34</v>
      </c>
      <c r="B17">
        <v>175</v>
      </c>
      <c r="C17" t="s">
        <v>35</v>
      </c>
      <c r="D17">
        <v>225</v>
      </c>
      <c r="G17" s="7"/>
    </row>
    <row r="18" spans="1:7" x14ac:dyDescent="0.2">
      <c r="A18" t="s">
        <v>34</v>
      </c>
      <c r="B18">
        <v>175</v>
      </c>
      <c r="C18" t="s">
        <v>35</v>
      </c>
      <c r="D18">
        <v>240</v>
      </c>
      <c r="G18" s="7"/>
    </row>
    <row r="19" spans="1:7" x14ac:dyDescent="0.2">
      <c r="A19" t="s">
        <v>34</v>
      </c>
      <c r="B19">
        <v>175</v>
      </c>
      <c r="C19" t="s">
        <v>35</v>
      </c>
      <c r="D19">
        <v>255</v>
      </c>
      <c r="G19" s="7"/>
    </row>
    <row r="20" spans="1:7" x14ac:dyDescent="0.2">
      <c r="A20" t="s">
        <v>34</v>
      </c>
      <c r="B20">
        <v>175</v>
      </c>
      <c r="C20" t="s">
        <v>35</v>
      </c>
      <c r="D20">
        <v>270</v>
      </c>
      <c r="G20" s="7"/>
    </row>
    <row r="21" spans="1:7" x14ac:dyDescent="0.2">
      <c r="A21" t="s">
        <v>34</v>
      </c>
      <c r="B21">
        <v>175</v>
      </c>
      <c r="C21" t="s">
        <v>35</v>
      </c>
      <c r="D21">
        <v>285</v>
      </c>
      <c r="G21" s="7"/>
    </row>
    <row r="22" spans="1:7" x14ac:dyDescent="0.2">
      <c r="A22" t="s">
        <v>34</v>
      </c>
      <c r="B22">
        <v>175</v>
      </c>
      <c r="C22" t="s">
        <v>35</v>
      </c>
      <c r="D22">
        <v>300</v>
      </c>
      <c r="G22" s="7"/>
    </row>
    <row r="23" spans="1:7" x14ac:dyDescent="0.2">
      <c r="D23" t="s">
        <v>23</v>
      </c>
      <c r="E23">
        <v>23.8</v>
      </c>
      <c r="G23" s="8"/>
    </row>
    <row r="26" spans="1:7" x14ac:dyDescent="0.2">
      <c r="C26" s="9" t="s">
        <v>32</v>
      </c>
      <c r="D26" s="9"/>
      <c r="E26">
        <f>E2-E23</f>
        <v>17.37</v>
      </c>
    </row>
  </sheetData>
  <mergeCells count="1">
    <mergeCell ref="C26:D26"/>
  </mergeCells>
  <pageMargins left="0.7" right="0.7" top="0.75" bottom="0.75" header="0.3" footer="0.3"/>
  <pageSetup orientation="portrait" horizontalDpi="0" verticalDpi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workbookViewId="0">
      <selection activeCell="P9" sqref="P9"/>
    </sheetView>
  </sheetViews>
  <sheetFormatPr baseColWidth="10" defaultColWidth="8.83203125" defaultRowHeight="15" x14ac:dyDescent="0.2"/>
  <cols>
    <col min="1" max="1" width="9.1640625" customWidth="1"/>
    <col min="3" max="3" width="13.6640625" customWidth="1"/>
    <col min="4" max="11" width="11.33203125" customWidth="1"/>
  </cols>
  <sheetData>
    <row r="1" spans="1:12" ht="31" thickBot="1" x14ac:dyDescent="0.25">
      <c r="A1" s="3" t="s">
        <v>9</v>
      </c>
      <c r="B1" s="4" t="s">
        <v>10</v>
      </c>
      <c r="C1" s="3" t="s">
        <v>0</v>
      </c>
      <c r="D1" s="3" t="s">
        <v>19</v>
      </c>
      <c r="E1" s="3" t="s">
        <v>1</v>
      </c>
      <c r="F1" s="3" t="s">
        <v>2</v>
      </c>
      <c r="G1" s="3" t="s">
        <v>3</v>
      </c>
      <c r="H1" s="3" t="s">
        <v>4</v>
      </c>
      <c r="I1" s="3" t="s">
        <v>5</v>
      </c>
      <c r="J1" s="3" t="s">
        <v>24</v>
      </c>
      <c r="K1" s="3" t="s">
        <v>6</v>
      </c>
    </row>
    <row r="2" spans="1:12" ht="20" customHeight="1" x14ac:dyDescent="0.2"/>
    <row r="3" spans="1:12" ht="16" thickBot="1" x14ac:dyDescent="0.25">
      <c r="A3" s="2"/>
      <c r="B3" s="2"/>
      <c r="C3" s="2"/>
      <c r="D3" s="3" t="s">
        <v>7</v>
      </c>
      <c r="E3" s="3" t="s">
        <v>8</v>
      </c>
      <c r="F3" s="3" t="s">
        <v>11</v>
      </c>
      <c r="G3" s="3" t="s">
        <v>12</v>
      </c>
      <c r="H3" s="3" t="s">
        <v>13</v>
      </c>
      <c r="I3" s="3" t="s">
        <v>14</v>
      </c>
      <c r="J3" s="3" t="s">
        <v>15</v>
      </c>
      <c r="K3" s="3" t="s">
        <v>16</v>
      </c>
    </row>
    <row r="4" spans="1:12" ht="20" customHeight="1" x14ac:dyDescent="0.2">
      <c r="A4" s="2"/>
      <c r="B4" s="2"/>
      <c r="C4" s="2"/>
    </row>
    <row r="5" spans="1:12" ht="16" thickBot="1" x14ac:dyDescent="0.25">
      <c r="A5" s="5"/>
      <c r="B5" s="5"/>
      <c r="C5" s="5"/>
      <c r="D5" s="3" t="s">
        <v>17</v>
      </c>
      <c r="E5" s="3" t="s">
        <v>18</v>
      </c>
      <c r="F5" s="3" t="s">
        <v>20</v>
      </c>
      <c r="G5" s="3" t="s">
        <v>21</v>
      </c>
      <c r="H5" s="3" t="s">
        <v>22</v>
      </c>
      <c r="I5" s="10" t="s">
        <v>23</v>
      </c>
      <c r="J5" s="10"/>
      <c r="K5" s="3" t="s">
        <v>25</v>
      </c>
    </row>
    <row r="6" spans="1:12" ht="20" customHeight="1" x14ac:dyDescent="0.2">
      <c r="A6" s="5"/>
      <c r="B6" s="5"/>
      <c r="C6" s="5"/>
      <c r="I6" s="11"/>
      <c r="J6" s="11"/>
    </row>
    <row r="7" spans="1:12" ht="30" customHeight="1" x14ac:dyDescent="0.2">
      <c r="A7" s="9"/>
      <c r="B7" s="9"/>
      <c r="C7" s="9"/>
      <c r="D7" s="9"/>
      <c r="E7" s="9"/>
      <c r="F7" s="9"/>
      <c r="G7" s="9"/>
      <c r="H7" s="9"/>
      <c r="I7" s="9"/>
      <c r="J7" s="9"/>
      <c r="K7" s="9"/>
    </row>
    <row r="8" spans="1:12" ht="31" thickBot="1" x14ac:dyDescent="0.25">
      <c r="A8" s="3" t="s">
        <v>9</v>
      </c>
      <c r="B8" s="4" t="s">
        <v>10</v>
      </c>
      <c r="C8" s="3" t="s">
        <v>0</v>
      </c>
      <c r="D8" s="3" t="s">
        <v>19</v>
      </c>
      <c r="E8" s="3" t="s">
        <v>1</v>
      </c>
      <c r="F8" s="3" t="s">
        <v>2</v>
      </c>
      <c r="G8" s="3" t="s">
        <v>3</v>
      </c>
      <c r="H8" s="3" t="s">
        <v>4</v>
      </c>
      <c r="I8" s="3" t="s">
        <v>5</v>
      </c>
      <c r="J8" s="3" t="s">
        <v>24</v>
      </c>
      <c r="K8" s="3" t="s">
        <v>6</v>
      </c>
    </row>
    <row r="9" spans="1:12" ht="20" customHeight="1" x14ac:dyDescent="0.2"/>
    <row r="10" spans="1:12" ht="16" thickBot="1" x14ac:dyDescent="0.25">
      <c r="A10" s="2"/>
      <c r="B10" s="2"/>
      <c r="C10" s="2"/>
      <c r="D10" s="3" t="s">
        <v>7</v>
      </c>
      <c r="E10" s="3" t="s">
        <v>8</v>
      </c>
      <c r="F10" s="3" t="s">
        <v>11</v>
      </c>
      <c r="G10" s="3" t="s">
        <v>12</v>
      </c>
      <c r="H10" s="3" t="s">
        <v>13</v>
      </c>
      <c r="I10" s="3" t="s">
        <v>14</v>
      </c>
      <c r="J10" s="3" t="s">
        <v>15</v>
      </c>
      <c r="K10" s="3" t="s">
        <v>16</v>
      </c>
      <c r="L10" s="6"/>
    </row>
    <row r="11" spans="1:12" ht="20" customHeight="1" x14ac:dyDescent="0.2">
      <c r="A11" s="2"/>
      <c r="B11" s="2"/>
      <c r="C11" s="2"/>
    </row>
    <row r="12" spans="1:12" ht="16" thickBot="1" x14ac:dyDescent="0.25">
      <c r="A12" s="5"/>
      <c r="B12" s="5"/>
      <c r="C12" s="5"/>
      <c r="D12" s="3" t="s">
        <v>17</v>
      </c>
      <c r="E12" s="3" t="s">
        <v>18</v>
      </c>
      <c r="F12" s="3" t="s">
        <v>20</v>
      </c>
      <c r="G12" s="3" t="s">
        <v>21</v>
      </c>
      <c r="H12" s="3" t="s">
        <v>22</v>
      </c>
      <c r="I12" s="10" t="s">
        <v>23</v>
      </c>
      <c r="J12" s="10"/>
      <c r="K12" s="3" t="s">
        <v>25</v>
      </c>
    </row>
    <row r="13" spans="1:12" ht="20" customHeight="1" x14ac:dyDescent="0.2">
      <c r="A13" s="5"/>
      <c r="B13" s="5"/>
      <c r="C13" s="5"/>
      <c r="I13" s="11"/>
      <c r="J13" s="11"/>
    </row>
    <row r="14" spans="1:12" ht="30" customHeight="1" x14ac:dyDescent="0.2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</row>
    <row r="15" spans="1:12" ht="31" thickBot="1" x14ac:dyDescent="0.25">
      <c r="A15" s="3" t="s">
        <v>9</v>
      </c>
      <c r="B15" s="4" t="s">
        <v>10</v>
      </c>
      <c r="C15" s="3" t="s">
        <v>0</v>
      </c>
      <c r="D15" s="3" t="s">
        <v>19</v>
      </c>
      <c r="E15" s="3" t="s">
        <v>1</v>
      </c>
      <c r="F15" s="3" t="s">
        <v>2</v>
      </c>
      <c r="G15" s="3" t="s">
        <v>3</v>
      </c>
      <c r="H15" s="3" t="s">
        <v>4</v>
      </c>
      <c r="I15" s="3" t="s">
        <v>5</v>
      </c>
      <c r="J15" s="3" t="s">
        <v>24</v>
      </c>
      <c r="K15" s="3" t="s">
        <v>6</v>
      </c>
    </row>
    <row r="16" spans="1:12" ht="20" customHeight="1" x14ac:dyDescent="0.2"/>
    <row r="17" spans="1:11" ht="16" thickBot="1" x14ac:dyDescent="0.25">
      <c r="A17" s="2"/>
      <c r="B17" s="2"/>
      <c r="C17" s="2"/>
      <c r="D17" s="3" t="s">
        <v>7</v>
      </c>
      <c r="E17" s="3" t="s">
        <v>8</v>
      </c>
      <c r="F17" s="3" t="s">
        <v>11</v>
      </c>
      <c r="G17" s="3" t="s">
        <v>12</v>
      </c>
      <c r="H17" s="3" t="s">
        <v>13</v>
      </c>
      <c r="I17" s="3" t="s">
        <v>14</v>
      </c>
      <c r="J17" s="3" t="s">
        <v>15</v>
      </c>
      <c r="K17" s="3" t="s">
        <v>16</v>
      </c>
    </row>
    <row r="18" spans="1:11" ht="20" customHeight="1" x14ac:dyDescent="0.2">
      <c r="A18" s="2"/>
      <c r="B18" s="2"/>
      <c r="C18" s="2"/>
    </row>
    <row r="19" spans="1:11" ht="16" thickBot="1" x14ac:dyDescent="0.25">
      <c r="A19" s="5"/>
      <c r="B19" s="5"/>
      <c r="C19" s="5"/>
      <c r="D19" s="3" t="s">
        <v>17</v>
      </c>
      <c r="E19" s="3" t="s">
        <v>18</v>
      </c>
      <c r="F19" s="3" t="s">
        <v>20</v>
      </c>
      <c r="G19" s="3" t="s">
        <v>21</v>
      </c>
      <c r="H19" s="3" t="s">
        <v>22</v>
      </c>
      <c r="I19" s="10" t="s">
        <v>23</v>
      </c>
      <c r="J19" s="10"/>
      <c r="K19" s="3" t="s">
        <v>25</v>
      </c>
    </row>
    <row r="20" spans="1:11" ht="20" customHeight="1" x14ac:dyDescent="0.2">
      <c r="A20" s="5"/>
      <c r="B20" s="5"/>
      <c r="C20" s="5"/>
      <c r="I20" s="11"/>
      <c r="J20" s="11"/>
    </row>
    <row r="21" spans="1:11" ht="20" customHeight="1" x14ac:dyDescent="0.2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</row>
    <row r="22" spans="1:11" x14ac:dyDescent="0.2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</row>
    <row r="23" spans="1:11" x14ac:dyDescent="0.2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</row>
    <row r="24" spans="1:11" x14ac:dyDescent="0.2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</row>
    <row r="25" spans="1:11" x14ac:dyDescent="0.2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</row>
  </sheetData>
  <mergeCells count="9">
    <mergeCell ref="A7:K7"/>
    <mergeCell ref="A14:K14"/>
    <mergeCell ref="A21:K25"/>
    <mergeCell ref="I5:J5"/>
    <mergeCell ref="I6:J6"/>
    <mergeCell ref="I12:J12"/>
    <mergeCell ref="I13:J13"/>
    <mergeCell ref="I19:J19"/>
    <mergeCell ref="I20:J20"/>
  </mergeCells>
  <printOptions gridLines="1"/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Analysis 1</vt:lpstr>
      <vt:lpstr>Analysis 2</vt:lpstr>
      <vt:lpstr>Analysis 3</vt:lpstr>
      <vt:lpstr>Sort Tracking Log</vt:lpstr>
    </vt:vector>
  </TitlesOfParts>
  <Company>NEON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Travis Carter</dc:creator>
  <cp:lastModifiedBy>Courtney Meier</cp:lastModifiedBy>
  <cp:lastPrinted>2016-09-15T12:42:16Z</cp:lastPrinted>
  <dcterms:created xsi:type="dcterms:W3CDTF">2016-09-14T20:18:46Z</dcterms:created>
  <dcterms:modified xsi:type="dcterms:W3CDTF">2016-10-14T18:54:09Z</dcterms:modified>
</cp:coreProperties>
</file>