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.mckinsey/Downloads/"/>
    </mc:Choice>
  </mc:AlternateContent>
  <xr:revisionPtr revIDLastSave="0" documentId="13_ncr:1_{60510D25-12C7-5A4B-A98F-C0C653EAEB30}" xr6:coauthVersionLast="36" xr6:coauthVersionMax="36" xr10:uidLastSave="{00000000-0000-0000-0000-000000000000}"/>
  <bookViews>
    <workbookView xWindow="0" yWindow="1520" windowWidth="25360" windowHeight="14020" tabRatio="689" activeTab="2" xr2:uid="{00000000-000D-0000-FFFF-FFFF00000000}"/>
  </bookViews>
  <sheets>
    <sheet name="Qy" sheetId="1" r:id="rId1"/>
    <sheet name="Leff @ZF" sheetId="8" r:id="rId2"/>
    <sheet name="Ly" sheetId="9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4" i="9" l="1"/>
  <c r="E303" i="9"/>
  <c r="E302" i="9"/>
  <c r="E301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56" i="9"/>
  <c r="E155" i="9"/>
  <c r="E154" i="9"/>
  <c r="E153" i="9"/>
  <c r="E152" i="9"/>
  <c r="E151" i="9"/>
  <c r="E150" i="9"/>
  <c r="E149" i="9"/>
  <c r="E148" i="9"/>
  <c r="E117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R116" i="9" l="1"/>
  <c r="N116" i="9"/>
  <c r="R188" i="9"/>
  <c r="P321" i="9"/>
  <c r="P319" i="9"/>
  <c r="P315" i="9"/>
  <c r="O311" i="9"/>
  <c r="P309" i="9"/>
  <c r="P307" i="9"/>
  <c r="P305" i="9"/>
  <c r="O295" i="9"/>
  <c r="P287" i="9"/>
  <c r="P283" i="9"/>
  <c r="P267" i="9"/>
  <c r="O267" i="9"/>
  <c r="O263" i="9"/>
  <c r="P251" i="9"/>
  <c r="O247" i="9"/>
  <c r="P225" i="9"/>
  <c r="O203" i="9"/>
  <c r="O183" i="9"/>
  <c r="P181" i="9"/>
  <c r="P177" i="9"/>
  <c r="O160" i="9"/>
  <c r="P145" i="9"/>
  <c r="O144" i="9"/>
  <c r="P141" i="9"/>
  <c r="P133" i="9"/>
  <c r="P129" i="9"/>
  <c r="P116" i="9"/>
  <c r="O116" i="9"/>
  <c r="O110" i="9"/>
  <c r="O104" i="9"/>
  <c r="O102" i="9"/>
  <c r="O96" i="9"/>
  <c r="O94" i="9"/>
  <c r="O72" i="9"/>
  <c r="O70" i="9"/>
  <c r="O64" i="9"/>
  <c r="O56" i="9"/>
  <c r="O54" i="9"/>
  <c r="O48" i="9"/>
  <c r="O41" i="9"/>
  <c r="O40" i="9"/>
  <c r="O38" i="9"/>
  <c r="O32" i="9"/>
  <c r="O30" i="9"/>
  <c r="O26" i="9"/>
  <c r="P25" i="9"/>
  <c r="O25" i="9"/>
  <c r="O24" i="9"/>
  <c r="O22" i="9"/>
  <c r="O21" i="9"/>
  <c r="O13" i="9"/>
  <c r="O5" i="9"/>
  <c r="G322" i="9"/>
  <c r="F322" i="9"/>
  <c r="O322" i="9" s="1"/>
  <c r="G321" i="9"/>
  <c r="F321" i="9"/>
  <c r="O321" i="9" s="1"/>
  <c r="G320" i="9"/>
  <c r="F320" i="9"/>
  <c r="G319" i="9"/>
  <c r="F319" i="9"/>
  <c r="O319" i="9" s="1"/>
  <c r="G318" i="9"/>
  <c r="F318" i="9"/>
  <c r="O318" i="9" s="1"/>
  <c r="G317" i="9"/>
  <c r="F317" i="9"/>
  <c r="O317" i="9" s="1"/>
  <c r="G316" i="9"/>
  <c r="F316" i="9"/>
  <c r="G315" i="9"/>
  <c r="F315" i="9"/>
  <c r="O315" i="9" s="1"/>
  <c r="G314" i="9"/>
  <c r="F314" i="9"/>
  <c r="O314" i="9" s="1"/>
  <c r="G313" i="9"/>
  <c r="F313" i="9"/>
  <c r="O313" i="9" s="1"/>
  <c r="G312" i="9"/>
  <c r="F312" i="9"/>
  <c r="G311" i="9"/>
  <c r="F311" i="9"/>
  <c r="G310" i="9"/>
  <c r="F310" i="9"/>
  <c r="O310" i="9" s="1"/>
  <c r="G309" i="9"/>
  <c r="F309" i="9"/>
  <c r="O309" i="9" s="1"/>
  <c r="G308" i="9"/>
  <c r="F308" i="9"/>
  <c r="G307" i="9"/>
  <c r="F307" i="9"/>
  <c r="O307" i="9" s="1"/>
  <c r="G306" i="9"/>
  <c r="F306" i="9"/>
  <c r="O306" i="9" s="1"/>
  <c r="G305" i="9"/>
  <c r="F305" i="9"/>
  <c r="O305" i="9" s="1"/>
  <c r="G191" i="9"/>
  <c r="F191" i="9"/>
  <c r="G190" i="9"/>
  <c r="F190" i="9"/>
  <c r="G189" i="9"/>
  <c r="F189" i="9"/>
  <c r="O189" i="9" s="1"/>
  <c r="G188" i="9"/>
  <c r="F188" i="9"/>
  <c r="O188" i="9" s="1"/>
  <c r="G187" i="9"/>
  <c r="F187" i="9"/>
  <c r="G186" i="9"/>
  <c r="F186" i="9"/>
  <c r="G185" i="9"/>
  <c r="F185" i="9"/>
  <c r="O185" i="9" s="1"/>
  <c r="G184" i="9"/>
  <c r="F184" i="9"/>
  <c r="O184" i="9" s="1"/>
  <c r="G183" i="9"/>
  <c r="F183" i="9"/>
  <c r="G182" i="9"/>
  <c r="F182" i="9"/>
  <c r="G181" i="9"/>
  <c r="F181" i="9"/>
  <c r="O181" i="9" s="1"/>
  <c r="G180" i="9"/>
  <c r="F180" i="9"/>
  <c r="O180" i="9" s="1"/>
  <c r="G179" i="9"/>
  <c r="F179" i="9"/>
  <c r="G178" i="9"/>
  <c r="F178" i="9"/>
  <c r="G177" i="9"/>
  <c r="F177" i="9"/>
  <c r="O177" i="9" s="1"/>
  <c r="G176" i="9"/>
  <c r="F176" i="9"/>
  <c r="O176" i="9" s="1"/>
  <c r="G175" i="9"/>
  <c r="F175" i="9"/>
  <c r="G174" i="9"/>
  <c r="F174" i="9"/>
  <c r="G147" i="9"/>
  <c r="F147" i="9"/>
  <c r="O147" i="9" s="1"/>
  <c r="G146" i="9"/>
  <c r="F146" i="9"/>
  <c r="O146" i="9" s="1"/>
  <c r="G145" i="9"/>
  <c r="F145" i="9"/>
  <c r="G144" i="9"/>
  <c r="F144" i="9"/>
  <c r="G143" i="9"/>
  <c r="F143" i="9"/>
  <c r="O143" i="9" s="1"/>
  <c r="G142" i="9"/>
  <c r="F142" i="9"/>
  <c r="O142" i="9" s="1"/>
  <c r="G141" i="9"/>
  <c r="F141" i="9"/>
  <c r="G140" i="9"/>
  <c r="F140" i="9"/>
  <c r="G139" i="9"/>
  <c r="F139" i="9"/>
  <c r="O139" i="9" s="1"/>
  <c r="G138" i="9"/>
  <c r="F138" i="9"/>
  <c r="O138" i="9" s="1"/>
  <c r="G137" i="9"/>
  <c r="F137" i="9"/>
  <c r="G136" i="9"/>
  <c r="F136" i="9"/>
  <c r="O136" i="9" s="1"/>
  <c r="G135" i="9"/>
  <c r="F135" i="9"/>
  <c r="O135" i="9" s="1"/>
  <c r="G134" i="9"/>
  <c r="F134" i="9"/>
  <c r="O134" i="9" s="1"/>
  <c r="G133" i="9"/>
  <c r="F133" i="9"/>
  <c r="G132" i="9"/>
  <c r="F132" i="9"/>
  <c r="G131" i="9"/>
  <c r="F131" i="9"/>
  <c r="O131" i="9" s="1"/>
  <c r="G130" i="9"/>
  <c r="F130" i="9"/>
  <c r="O130" i="9" s="1"/>
  <c r="N26" i="9"/>
  <c r="N25" i="9"/>
  <c r="N24" i="9"/>
  <c r="N23" i="9"/>
  <c r="N22" i="9"/>
  <c r="N21" i="9"/>
  <c r="M26" i="9"/>
  <c r="M25" i="9"/>
  <c r="M24" i="9"/>
  <c r="M23" i="9"/>
  <c r="M22" i="9"/>
  <c r="M21" i="9"/>
  <c r="M20" i="9"/>
  <c r="N20" i="9"/>
  <c r="E26" i="9"/>
  <c r="E25" i="9"/>
  <c r="E24" i="9"/>
  <c r="E23" i="9"/>
  <c r="E22" i="9"/>
  <c r="E21" i="9"/>
  <c r="E20" i="9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V67" i="1"/>
  <c r="U66" i="1"/>
  <c r="W66" i="1" s="1"/>
  <c r="V63" i="1"/>
  <c r="V61" i="1"/>
  <c r="R69" i="1"/>
  <c r="R68" i="1"/>
  <c r="T67" i="1"/>
  <c r="S67" i="1"/>
  <c r="U67" i="1" s="1"/>
  <c r="R67" i="1"/>
  <c r="T66" i="1"/>
  <c r="S66" i="1"/>
  <c r="R66" i="1"/>
  <c r="V66" i="1" s="1"/>
  <c r="S65" i="1"/>
  <c r="U65" i="1" s="1"/>
  <c r="W65" i="1" s="1"/>
  <c r="R65" i="1"/>
  <c r="R64" i="1"/>
  <c r="V64" i="1" s="1"/>
  <c r="T63" i="1"/>
  <c r="S63" i="1"/>
  <c r="U63" i="1" s="1"/>
  <c r="W63" i="1" s="1"/>
  <c r="R63" i="1"/>
  <c r="T62" i="1"/>
  <c r="R62" i="1"/>
  <c r="R61" i="1"/>
  <c r="R60" i="1"/>
  <c r="Q69" i="1"/>
  <c r="Q68" i="1"/>
  <c r="Q67" i="1"/>
  <c r="Q66" i="1"/>
  <c r="Q65" i="1"/>
  <c r="Q64" i="1"/>
  <c r="Q63" i="1"/>
  <c r="Q62" i="1"/>
  <c r="Q61" i="1"/>
  <c r="Q60" i="1"/>
  <c r="J69" i="1"/>
  <c r="J68" i="1"/>
  <c r="J67" i="1"/>
  <c r="J66" i="1"/>
  <c r="J65" i="1"/>
  <c r="J64" i="1"/>
  <c r="J63" i="1"/>
  <c r="J62" i="1"/>
  <c r="J61" i="1"/>
  <c r="J60" i="1"/>
  <c r="E69" i="1"/>
  <c r="E68" i="1"/>
  <c r="E67" i="1"/>
  <c r="E66" i="1"/>
  <c r="E65" i="1"/>
  <c r="T65" i="1" s="1"/>
  <c r="V65" i="1" s="1"/>
  <c r="E64" i="1"/>
  <c r="T64" i="1" s="1"/>
  <c r="E63" i="1"/>
  <c r="E62" i="1"/>
  <c r="S62" i="1" s="1"/>
  <c r="U62" i="1" s="1"/>
  <c r="E61" i="1"/>
  <c r="T61" i="1" s="1"/>
  <c r="E60" i="1"/>
  <c r="S27" i="1"/>
  <c r="T27" i="1"/>
  <c r="S26" i="1"/>
  <c r="U26" i="1"/>
  <c r="T26" i="1"/>
  <c r="W26" i="1"/>
  <c r="S25" i="1"/>
  <c r="T25" i="1"/>
  <c r="S24" i="1"/>
  <c r="U24" i="1" s="1"/>
  <c r="T24" i="1"/>
  <c r="S23" i="1"/>
  <c r="U23" i="1"/>
  <c r="W23" i="1" s="1"/>
  <c r="T23" i="1"/>
  <c r="V23" i="1"/>
  <c r="S22" i="1"/>
  <c r="U22" i="1" s="1"/>
  <c r="T22" i="1"/>
  <c r="S21" i="1"/>
  <c r="U21" i="1" s="1"/>
  <c r="T21" i="1"/>
  <c r="V21" i="1"/>
  <c r="M28" i="1"/>
  <c r="O28" i="1" s="1"/>
  <c r="P28" i="1" s="1"/>
  <c r="S28" i="1" s="1"/>
  <c r="R27" i="1"/>
  <c r="V27" i="1" s="1"/>
  <c r="R26" i="1"/>
  <c r="V26" i="1" s="1"/>
  <c r="R25" i="1"/>
  <c r="U25" i="1" s="1"/>
  <c r="R24" i="1"/>
  <c r="V24" i="1" s="1"/>
  <c r="R23" i="1"/>
  <c r="R22" i="1"/>
  <c r="V22" i="1" s="1"/>
  <c r="W22" i="1" s="1"/>
  <c r="R21" i="1"/>
  <c r="Q27" i="1"/>
  <c r="Q26" i="1"/>
  <c r="Q25" i="1"/>
  <c r="Q24" i="1"/>
  <c r="Q23" i="1"/>
  <c r="Q22" i="1"/>
  <c r="Q21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D242" i="9"/>
  <c r="N242" i="9"/>
  <c r="P242" i="9" s="1"/>
  <c r="D250" i="9"/>
  <c r="D251" i="9"/>
  <c r="N251" i="9"/>
  <c r="D249" i="9"/>
  <c r="N249" i="9"/>
  <c r="P249" i="9" s="1"/>
  <c r="D248" i="9"/>
  <c r="N248" i="9"/>
  <c r="D247" i="9"/>
  <c r="N247" i="9"/>
  <c r="D246" i="9"/>
  <c r="N246" i="9" s="1"/>
  <c r="P246" i="9" s="1"/>
  <c r="D245" i="9"/>
  <c r="N245" i="9"/>
  <c r="D244" i="9"/>
  <c r="D243" i="9"/>
  <c r="N243" i="9"/>
  <c r="E250" i="9"/>
  <c r="E249" i="9"/>
  <c r="E248" i="9"/>
  <c r="E247" i="9"/>
  <c r="E246" i="9"/>
  <c r="E245" i="9"/>
  <c r="E244" i="9"/>
  <c r="E243" i="9"/>
  <c r="E242" i="9"/>
  <c r="J250" i="9"/>
  <c r="J249" i="9"/>
  <c r="J248" i="9"/>
  <c r="J247" i="9"/>
  <c r="J246" i="9"/>
  <c r="J245" i="9"/>
  <c r="J244" i="9"/>
  <c r="J243" i="9"/>
  <c r="J242" i="9"/>
  <c r="E322" i="9"/>
  <c r="N322" i="9"/>
  <c r="E321" i="9"/>
  <c r="N321" i="9"/>
  <c r="E320" i="9"/>
  <c r="N320" i="9"/>
  <c r="E319" i="9"/>
  <c r="N319" i="9"/>
  <c r="R319" i="9" s="1"/>
  <c r="E318" i="9"/>
  <c r="N318" i="9"/>
  <c r="E317" i="9"/>
  <c r="N317" i="9"/>
  <c r="P317" i="9" s="1"/>
  <c r="E316" i="9"/>
  <c r="N316" i="9"/>
  <c r="E315" i="9"/>
  <c r="N315" i="9"/>
  <c r="E314" i="9"/>
  <c r="N314" i="9"/>
  <c r="E313" i="9"/>
  <c r="N313" i="9"/>
  <c r="E312" i="9"/>
  <c r="N312" i="9"/>
  <c r="E311" i="9"/>
  <c r="N311" i="9"/>
  <c r="P311" i="9" s="1"/>
  <c r="E310" i="9"/>
  <c r="N310" i="9"/>
  <c r="E309" i="9"/>
  <c r="N309" i="9"/>
  <c r="E308" i="9"/>
  <c r="N308" i="9"/>
  <c r="E307" i="9"/>
  <c r="N307" i="9"/>
  <c r="E306" i="9"/>
  <c r="N306" i="9"/>
  <c r="E305" i="9"/>
  <c r="N305" i="9"/>
  <c r="D304" i="9"/>
  <c r="D303" i="9"/>
  <c r="N303" i="9" s="1"/>
  <c r="D302" i="9"/>
  <c r="D301" i="9"/>
  <c r="D300" i="9"/>
  <c r="E300" i="9"/>
  <c r="N300" i="9"/>
  <c r="D299" i="9"/>
  <c r="E299" i="9"/>
  <c r="N299" i="9"/>
  <c r="D298" i="9"/>
  <c r="E298" i="9"/>
  <c r="N298" i="9"/>
  <c r="D297" i="9"/>
  <c r="N297" i="9" s="1"/>
  <c r="P297" i="9" s="1"/>
  <c r="E297" i="9"/>
  <c r="D296" i="9"/>
  <c r="E296" i="9"/>
  <c r="N296" i="9"/>
  <c r="D295" i="9"/>
  <c r="E295" i="9"/>
  <c r="N295" i="9"/>
  <c r="D294" i="9"/>
  <c r="E294" i="9"/>
  <c r="N294" i="9"/>
  <c r="D293" i="9"/>
  <c r="E293" i="9"/>
  <c r="D292" i="9"/>
  <c r="E292" i="9"/>
  <c r="N292" i="9"/>
  <c r="D291" i="9"/>
  <c r="E291" i="9"/>
  <c r="N291" i="9"/>
  <c r="D290" i="9"/>
  <c r="E290" i="9"/>
  <c r="D289" i="9"/>
  <c r="E289" i="9"/>
  <c r="D288" i="9"/>
  <c r="E288" i="9"/>
  <c r="N288" i="9"/>
  <c r="D287" i="9"/>
  <c r="E287" i="9"/>
  <c r="N287" i="9"/>
  <c r="D286" i="9"/>
  <c r="E286" i="9"/>
  <c r="D285" i="9"/>
  <c r="E285" i="9"/>
  <c r="D284" i="9"/>
  <c r="E284" i="9"/>
  <c r="D283" i="9"/>
  <c r="O283" i="9" s="1"/>
  <c r="E283" i="9"/>
  <c r="N283" i="9"/>
  <c r="D282" i="9"/>
  <c r="E282" i="9"/>
  <c r="N282" i="9"/>
  <c r="P282" i="9" s="1"/>
  <c r="D281" i="9"/>
  <c r="E281" i="9"/>
  <c r="D280" i="9"/>
  <c r="E280" i="9"/>
  <c r="D279" i="9"/>
  <c r="E279" i="9"/>
  <c r="N279" i="9"/>
  <c r="D278" i="9"/>
  <c r="E278" i="9"/>
  <c r="N278" i="9"/>
  <c r="D277" i="9"/>
  <c r="E277" i="9"/>
  <c r="N277" i="9"/>
  <c r="D276" i="9"/>
  <c r="E276" i="9"/>
  <c r="D275" i="9"/>
  <c r="E275" i="9"/>
  <c r="N275" i="9"/>
  <c r="P275" i="9" s="1"/>
  <c r="D274" i="9"/>
  <c r="E274" i="9"/>
  <c r="N274" i="9"/>
  <c r="D273" i="9"/>
  <c r="E273" i="9"/>
  <c r="D272" i="9"/>
  <c r="E272" i="9"/>
  <c r="N272" i="9"/>
  <c r="D271" i="9"/>
  <c r="E271" i="9"/>
  <c r="N271" i="9"/>
  <c r="D270" i="9"/>
  <c r="E270" i="9"/>
  <c r="D269" i="9"/>
  <c r="E269" i="9"/>
  <c r="D268" i="9"/>
  <c r="E268" i="9"/>
  <c r="N268" i="9"/>
  <c r="D267" i="9"/>
  <c r="E267" i="9"/>
  <c r="N267" i="9"/>
  <c r="D266" i="9"/>
  <c r="E266" i="9"/>
  <c r="N266" i="9"/>
  <c r="P266" i="9" s="1"/>
  <c r="D265" i="9"/>
  <c r="E265" i="9"/>
  <c r="D264" i="9"/>
  <c r="E264" i="9"/>
  <c r="D263" i="9"/>
  <c r="E263" i="9"/>
  <c r="N263" i="9"/>
  <c r="D262" i="9"/>
  <c r="E262" i="9"/>
  <c r="N262" i="9"/>
  <c r="D261" i="9"/>
  <c r="E261" i="9"/>
  <c r="N261" i="9"/>
  <c r="P261" i="9" s="1"/>
  <c r="D260" i="9"/>
  <c r="E260" i="9"/>
  <c r="N260" i="9"/>
  <c r="D259" i="9"/>
  <c r="E259" i="9"/>
  <c r="D258" i="9"/>
  <c r="E258" i="9"/>
  <c r="D257" i="9"/>
  <c r="E257" i="9"/>
  <c r="N257" i="9"/>
  <c r="D256" i="9"/>
  <c r="E256" i="9"/>
  <c r="N256" i="9"/>
  <c r="D255" i="9"/>
  <c r="O255" i="9" s="1"/>
  <c r="E255" i="9"/>
  <c r="N255" i="9"/>
  <c r="D254" i="9"/>
  <c r="E254" i="9"/>
  <c r="N254" i="9"/>
  <c r="D253" i="9"/>
  <c r="E253" i="9"/>
  <c r="N253" i="9"/>
  <c r="D252" i="9"/>
  <c r="E252" i="9"/>
  <c r="N252" i="9"/>
  <c r="E251" i="9"/>
  <c r="D241" i="9"/>
  <c r="E241" i="9"/>
  <c r="N241" i="9"/>
  <c r="P241" i="9" s="1"/>
  <c r="D240" i="9"/>
  <c r="E240" i="9"/>
  <c r="N240" i="9"/>
  <c r="D239" i="9"/>
  <c r="E239" i="9"/>
  <c r="N239" i="9"/>
  <c r="D238" i="9"/>
  <c r="E238" i="9"/>
  <c r="N238" i="9"/>
  <c r="D237" i="9"/>
  <c r="E237" i="9"/>
  <c r="N237" i="9"/>
  <c r="P237" i="9" s="1"/>
  <c r="D236" i="9"/>
  <c r="E236" i="9"/>
  <c r="D235" i="9"/>
  <c r="E235" i="9"/>
  <c r="D234" i="9"/>
  <c r="E234" i="9"/>
  <c r="N234" i="9"/>
  <c r="D233" i="9"/>
  <c r="E233" i="9"/>
  <c r="N233" i="9"/>
  <c r="D232" i="9"/>
  <c r="E232" i="9"/>
  <c r="N232" i="9"/>
  <c r="D231" i="9"/>
  <c r="O231" i="9" s="1"/>
  <c r="E231" i="9"/>
  <c r="N231" i="9"/>
  <c r="D230" i="9"/>
  <c r="E230" i="9"/>
  <c r="N230" i="9"/>
  <c r="D229" i="9"/>
  <c r="E229" i="9"/>
  <c r="N229" i="9"/>
  <c r="P229" i="9" s="1"/>
  <c r="D228" i="9"/>
  <c r="E228" i="9"/>
  <c r="D227" i="9"/>
  <c r="E227" i="9"/>
  <c r="D226" i="9"/>
  <c r="E226" i="9"/>
  <c r="N226" i="9"/>
  <c r="D225" i="9"/>
  <c r="E225" i="9"/>
  <c r="N225" i="9"/>
  <c r="D224" i="9"/>
  <c r="E224" i="9"/>
  <c r="N224" i="9"/>
  <c r="D223" i="9"/>
  <c r="E223" i="9"/>
  <c r="D222" i="9"/>
  <c r="E222" i="9"/>
  <c r="N222" i="9"/>
  <c r="D221" i="9"/>
  <c r="E221" i="9"/>
  <c r="N221" i="9"/>
  <c r="D220" i="9"/>
  <c r="E220" i="9"/>
  <c r="D219" i="9"/>
  <c r="E219" i="9"/>
  <c r="D218" i="9"/>
  <c r="E218" i="9"/>
  <c r="N218" i="9"/>
  <c r="D217" i="9"/>
  <c r="E217" i="9"/>
  <c r="D216" i="9"/>
  <c r="E216" i="9"/>
  <c r="N216" i="9"/>
  <c r="D215" i="9"/>
  <c r="E215" i="9"/>
  <c r="N215" i="9"/>
  <c r="D214" i="9"/>
  <c r="E214" i="9"/>
  <c r="N214" i="9"/>
  <c r="D213" i="9"/>
  <c r="E213" i="9"/>
  <c r="N213" i="9"/>
  <c r="D212" i="9"/>
  <c r="E212" i="9"/>
  <c r="D211" i="9"/>
  <c r="E211" i="9"/>
  <c r="D210" i="9"/>
  <c r="E210" i="9"/>
  <c r="N210" i="9"/>
  <c r="D209" i="9"/>
  <c r="E209" i="9"/>
  <c r="N209" i="9"/>
  <c r="D208" i="9"/>
  <c r="E208" i="9"/>
  <c r="N208" i="9"/>
  <c r="D207" i="9"/>
  <c r="N207" i="9" s="1"/>
  <c r="E207" i="9"/>
  <c r="D206" i="9"/>
  <c r="E206" i="9"/>
  <c r="N206" i="9"/>
  <c r="D205" i="9"/>
  <c r="E205" i="9"/>
  <c r="N205" i="9"/>
  <c r="D204" i="9"/>
  <c r="E204" i="9"/>
  <c r="D203" i="9"/>
  <c r="N203" i="9" s="1"/>
  <c r="E203" i="9"/>
  <c r="D202" i="9"/>
  <c r="E202" i="9"/>
  <c r="N202" i="9"/>
  <c r="D201" i="9"/>
  <c r="N201" i="9" s="1"/>
  <c r="E201" i="9"/>
  <c r="D200" i="9"/>
  <c r="E200" i="9"/>
  <c r="N200" i="9"/>
  <c r="D199" i="9"/>
  <c r="O199" i="9" s="1"/>
  <c r="E199" i="9"/>
  <c r="N199" i="9"/>
  <c r="D198" i="9"/>
  <c r="E198" i="9"/>
  <c r="N198" i="9"/>
  <c r="D197" i="9"/>
  <c r="E197" i="9"/>
  <c r="N197" i="9"/>
  <c r="P197" i="9" s="1"/>
  <c r="D196" i="9"/>
  <c r="E196" i="9"/>
  <c r="D195" i="9"/>
  <c r="E195" i="9"/>
  <c r="D194" i="9"/>
  <c r="E194" i="9"/>
  <c r="N194" i="9"/>
  <c r="D193" i="9"/>
  <c r="E193" i="9"/>
  <c r="N193" i="9"/>
  <c r="D192" i="9"/>
  <c r="E192" i="9"/>
  <c r="N192" i="9"/>
  <c r="E191" i="9"/>
  <c r="N191" i="9"/>
  <c r="E190" i="9"/>
  <c r="N190" i="9"/>
  <c r="E189" i="9"/>
  <c r="N189" i="9"/>
  <c r="E188" i="9"/>
  <c r="N188" i="9"/>
  <c r="P188" i="9" s="1"/>
  <c r="E187" i="9"/>
  <c r="N187" i="9"/>
  <c r="E186" i="9"/>
  <c r="N186" i="9"/>
  <c r="E185" i="9"/>
  <c r="N185" i="9"/>
  <c r="E184" i="9"/>
  <c r="N184" i="9"/>
  <c r="E183" i="9"/>
  <c r="N183" i="9"/>
  <c r="E182" i="9"/>
  <c r="N182" i="9"/>
  <c r="E181" i="9"/>
  <c r="N181" i="9"/>
  <c r="E180" i="9"/>
  <c r="N180" i="9"/>
  <c r="E179" i="9"/>
  <c r="N179" i="9"/>
  <c r="E178" i="9"/>
  <c r="N178" i="9"/>
  <c r="E177" i="9"/>
  <c r="N177" i="9"/>
  <c r="E176" i="9"/>
  <c r="N176" i="9"/>
  <c r="E175" i="9"/>
  <c r="N175" i="9"/>
  <c r="E174" i="9"/>
  <c r="N174" i="9"/>
  <c r="D173" i="9"/>
  <c r="D172" i="9"/>
  <c r="N172" i="9"/>
  <c r="P172" i="9" s="1"/>
  <c r="D171" i="9"/>
  <c r="D170" i="9"/>
  <c r="N170" i="9"/>
  <c r="P170" i="9" s="1"/>
  <c r="D169" i="9"/>
  <c r="D168" i="9"/>
  <c r="N168" i="9"/>
  <c r="P168" i="9" s="1"/>
  <c r="D167" i="9"/>
  <c r="N167" i="9"/>
  <c r="P167" i="9" s="1"/>
  <c r="D166" i="9"/>
  <c r="D165" i="9"/>
  <c r="N165" i="9"/>
  <c r="P165" i="9" s="1"/>
  <c r="D164" i="9"/>
  <c r="N164" i="9"/>
  <c r="P164" i="9" s="1"/>
  <c r="D163" i="9"/>
  <c r="N163" i="9"/>
  <c r="P163" i="9" s="1"/>
  <c r="D162" i="9"/>
  <c r="N162" i="9"/>
  <c r="P162" i="9" s="1"/>
  <c r="D161" i="9"/>
  <c r="N160" i="9"/>
  <c r="P160" i="9" s="1"/>
  <c r="N159" i="9"/>
  <c r="N158" i="9"/>
  <c r="N157" i="9"/>
  <c r="D156" i="9"/>
  <c r="N156" i="9"/>
  <c r="D155" i="9"/>
  <c r="N155" i="9" s="1"/>
  <c r="D154" i="9"/>
  <c r="N154" i="9"/>
  <c r="D153" i="9"/>
  <c r="D152" i="9"/>
  <c r="O152" i="9" s="1"/>
  <c r="N152" i="9"/>
  <c r="P152" i="9" s="1"/>
  <c r="D151" i="9"/>
  <c r="N151" i="9"/>
  <c r="D150" i="9"/>
  <c r="D149" i="9"/>
  <c r="N149" i="9"/>
  <c r="P149" i="9" s="1"/>
  <c r="D148" i="9"/>
  <c r="N148" i="9"/>
  <c r="E147" i="9"/>
  <c r="N147" i="9"/>
  <c r="E146" i="9"/>
  <c r="N146" i="9"/>
  <c r="E145" i="9"/>
  <c r="N145" i="9"/>
  <c r="E144" i="9"/>
  <c r="N144" i="9"/>
  <c r="E143" i="9"/>
  <c r="N143" i="9"/>
  <c r="P143" i="9" s="1"/>
  <c r="E142" i="9"/>
  <c r="N142" i="9"/>
  <c r="E141" i="9"/>
  <c r="N141" i="9"/>
  <c r="E140" i="9"/>
  <c r="N140" i="9"/>
  <c r="P140" i="9" s="1"/>
  <c r="E139" i="9"/>
  <c r="N139" i="9"/>
  <c r="E138" i="9"/>
  <c r="N138" i="9"/>
  <c r="E137" i="9"/>
  <c r="N137" i="9"/>
  <c r="E136" i="9"/>
  <c r="N136" i="9"/>
  <c r="E135" i="9"/>
  <c r="N135" i="9"/>
  <c r="P135" i="9" s="1"/>
  <c r="E134" i="9"/>
  <c r="N134" i="9"/>
  <c r="E133" i="9"/>
  <c r="N133" i="9"/>
  <c r="E132" i="9"/>
  <c r="N132" i="9"/>
  <c r="P132" i="9" s="1"/>
  <c r="E131" i="9"/>
  <c r="N131" i="9"/>
  <c r="E130" i="9"/>
  <c r="N130" i="9"/>
  <c r="D129" i="9"/>
  <c r="N129" i="9" s="1"/>
  <c r="D128" i="9"/>
  <c r="D127" i="9"/>
  <c r="N127" i="9"/>
  <c r="P127" i="9" s="1"/>
  <c r="D126" i="9"/>
  <c r="N126" i="9"/>
  <c r="P126" i="9" s="1"/>
  <c r="D125" i="9"/>
  <c r="N125" i="9"/>
  <c r="P125" i="9" s="1"/>
  <c r="D124" i="9"/>
  <c r="O124" i="9" s="1"/>
  <c r="N124" i="9"/>
  <c r="P124" i="9" s="1"/>
  <c r="D123" i="9"/>
  <c r="D122" i="9"/>
  <c r="N122" i="9"/>
  <c r="P122" i="9" s="1"/>
  <c r="D121" i="9"/>
  <c r="N121" i="9" s="1"/>
  <c r="P121" i="9" s="1"/>
  <c r="D120" i="9"/>
  <c r="D119" i="9"/>
  <c r="D118" i="9"/>
  <c r="N118" i="9"/>
  <c r="P118" i="9" s="1"/>
  <c r="D117" i="9"/>
  <c r="E116" i="9"/>
  <c r="D115" i="9"/>
  <c r="E115" i="9"/>
  <c r="N115" i="9"/>
  <c r="D114" i="9"/>
  <c r="E114" i="9"/>
  <c r="D113" i="9"/>
  <c r="E113" i="9"/>
  <c r="D112" i="9"/>
  <c r="E112" i="9"/>
  <c r="N112" i="9"/>
  <c r="D111" i="9"/>
  <c r="E111" i="9"/>
  <c r="N111" i="9"/>
  <c r="D110" i="9"/>
  <c r="E110" i="9"/>
  <c r="N110" i="9"/>
  <c r="D109" i="9"/>
  <c r="O109" i="9" s="1"/>
  <c r="E109" i="9"/>
  <c r="N109" i="9"/>
  <c r="D108" i="9"/>
  <c r="O108" i="9" s="1"/>
  <c r="E108" i="9"/>
  <c r="N108" i="9"/>
  <c r="D107" i="9"/>
  <c r="E107" i="9"/>
  <c r="N107" i="9"/>
  <c r="D106" i="9"/>
  <c r="E106" i="9"/>
  <c r="D105" i="9"/>
  <c r="E105" i="9"/>
  <c r="N105" i="9"/>
  <c r="P105" i="9" s="1"/>
  <c r="D104" i="9"/>
  <c r="E104" i="9"/>
  <c r="N104" i="9"/>
  <c r="P104" i="9" s="1"/>
  <c r="D103" i="9"/>
  <c r="E103" i="9"/>
  <c r="D102" i="9"/>
  <c r="E102" i="9"/>
  <c r="N102" i="9"/>
  <c r="P102" i="9" s="1"/>
  <c r="D101" i="9"/>
  <c r="E101" i="9"/>
  <c r="N101" i="9"/>
  <c r="P101" i="9" s="1"/>
  <c r="D100" i="9"/>
  <c r="O100" i="9" s="1"/>
  <c r="E100" i="9"/>
  <c r="N100" i="9"/>
  <c r="P100" i="9" s="1"/>
  <c r="D99" i="9"/>
  <c r="E99" i="9"/>
  <c r="D98" i="9"/>
  <c r="E98" i="9"/>
  <c r="D97" i="9"/>
  <c r="O97" i="9" s="1"/>
  <c r="E97" i="9"/>
  <c r="N97" i="9"/>
  <c r="P97" i="9" s="1"/>
  <c r="D96" i="9"/>
  <c r="E96" i="9"/>
  <c r="N96" i="9"/>
  <c r="P96" i="9" s="1"/>
  <c r="D95" i="9"/>
  <c r="E95" i="9"/>
  <c r="N95" i="9"/>
  <c r="D94" i="9"/>
  <c r="E94" i="9"/>
  <c r="N94" i="9"/>
  <c r="P94" i="9" s="1"/>
  <c r="D93" i="9"/>
  <c r="O93" i="9" s="1"/>
  <c r="E93" i="9"/>
  <c r="N93" i="9"/>
  <c r="D92" i="9"/>
  <c r="O92" i="9" s="1"/>
  <c r="E92" i="9"/>
  <c r="N92" i="9"/>
  <c r="D91" i="9"/>
  <c r="E91" i="9"/>
  <c r="D90" i="9"/>
  <c r="E90" i="9"/>
  <c r="D89" i="9"/>
  <c r="E89" i="9"/>
  <c r="N89" i="9"/>
  <c r="E88" i="9"/>
  <c r="N88" i="9"/>
  <c r="O88" i="9" s="1"/>
  <c r="E87" i="9"/>
  <c r="N87" i="9"/>
  <c r="E86" i="9"/>
  <c r="N86" i="9"/>
  <c r="E85" i="9"/>
  <c r="N85" i="9"/>
  <c r="E84" i="9"/>
  <c r="N84" i="9"/>
  <c r="E83" i="9"/>
  <c r="N83" i="9"/>
  <c r="E82" i="9"/>
  <c r="N82" i="9"/>
  <c r="E81" i="9"/>
  <c r="N81" i="9"/>
  <c r="E80" i="9"/>
  <c r="N80" i="9"/>
  <c r="O80" i="9" s="1"/>
  <c r="E79" i="9"/>
  <c r="N79" i="9"/>
  <c r="E78" i="9"/>
  <c r="N78" i="9"/>
  <c r="E77" i="9"/>
  <c r="N77" i="9"/>
  <c r="E76" i="9"/>
  <c r="N76" i="9"/>
  <c r="E75" i="9"/>
  <c r="N75" i="9"/>
  <c r="E74" i="9"/>
  <c r="N74" i="9"/>
  <c r="E73" i="9"/>
  <c r="N73" i="9"/>
  <c r="E72" i="9"/>
  <c r="N72" i="9"/>
  <c r="E71" i="9"/>
  <c r="N71" i="9"/>
  <c r="N70" i="9"/>
  <c r="P70" i="9" s="1"/>
  <c r="N69" i="9"/>
  <c r="N68" i="9"/>
  <c r="N67" i="9"/>
  <c r="D66" i="9"/>
  <c r="D65" i="9"/>
  <c r="N65" i="9" s="1"/>
  <c r="P65" i="9" s="1"/>
  <c r="D64" i="9"/>
  <c r="N64" i="9"/>
  <c r="P64" i="9" s="1"/>
  <c r="E64" i="9"/>
  <c r="D63" i="9"/>
  <c r="N63" i="9"/>
  <c r="P63" i="9" s="1"/>
  <c r="D62" i="9"/>
  <c r="N62" i="9"/>
  <c r="P62" i="9" s="1"/>
  <c r="E62" i="9"/>
  <c r="D61" i="9"/>
  <c r="O61" i="9" s="1"/>
  <c r="N61" i="9"/>
  <c r="P61" i="9" s="1"/>
  <c r="E61" i="9"/>
  <c r="D60" i="9"/>
  <c r="D59" i="9"/>
  <c r="E59" i="9" s="1"/>
  <c r="D58" i="9"/>
  <c r="D57" i="9"/>
  <c r="N57" i="9" s="1"/>
  <c r="P57" i="9" s="1"/>
  <c r="E57" i="9"/>
  <c r="D56" i="9"/>
  <c r="N56" i="9"/>
  <c r="P56" i="9" s="1"/>
  <c r="E56" i="9"/>
  <c r="D55" i="9"/>
  <c r="E55" i="9"/>
  <c r="N54" i="9"/>
  <c r="N53" i="9"/>
  <c r="N52" i="9"/>
  <c r="N51" i="9"/>
  <c r="N50" i="9"/>
  <c r="E50" i="9"/>
  <c r="N49" i="9"/>
  <c r="E49" i="9"/>
  <c r="N48" i="9"/>
  <c r="E48" i="9"/>
  <c r="N47" i="9"/>
  <c r="E47" i="9"/>
  <c r="N46" i="9"/>
  <c r="O46" i="9" s="1"/>
  <c r="E46" i="9"/>
  <c r="N45" i="9"/>
  <c r="O45" i="9" s="1"/>
  <c r="E45" i="9"/>
  <c r="N44" i="9"/>
  <c r="O44" i="9" s="1"/>
  <c r="E44" i="9"/>
  <c r="N43" i="9"/>
  <c r="E43" i="9"/>
  <c r="N42" i="9"/>
  <c r="E42" i="9"/>
  <c r="N41" i="9"/>
  <c r="E41" i="9"/>
  <c r="N40" i="9"/>
  <c r="N39" i="9"/>
  <c r="N38" i="9"/>
  <c r="N37" i="9"/>
  <c r="N36" i="9"/>
  <c r="N35" i="9"/>
  <c r="N34" i="9"/>
  <c r="N33" i="9"/>
  <c r="N32" i="9"/>
  <c r="N31" i="9"/>
  <c r="N30" i="9"/>
  <c r="N29" i="9"/>
  <c r="O29" i="9" s="1"/>
  <c r="N28" i="9"/>
  <c r="N27" i="9"/>
  <c r="E19" i="9"/>
  <c r="N19" i="9"/>
  <c r="E18" i="9"/>
  <c r="N18" i="9"/>
  <c r="E17" i="9"/>
  <c r="N17" i="9"/>
  <c r="O17" i="9" s="1"/>
  <c r="E16" i="9"/>
  <c r="N16" i="9"/>
  <c r="E15" i="9"/>
  <c r="N15" i="9"/>
  <c r="E14" i="9"/>
  <c r="N14" i="9"/>
  <c r="E13" i="9"/>
  <c r="N13" i="9"/>
  <c r="E12" i="9"/>
  <c r="N12" i="9"/>
  <c r="E11" i="9"/>
  <c r="N11" i="9"/>
  <c r="E10" i="9"/>
  <c r="N10" i="9"/>
  <c r="E9" i="9"/>
  <c r="N9" i="9"/>
  <c r="E8" i="9"/>
  <c r="N8" i="9"/>
  <c r="E7" i="9"/>
  <c r="N7" i="9"/>
  <c r="E6" i="9"/>
  <c r="N6" i="9"/>
  <c r="E5" i="9"/>
  <c r="N5" i="9"/>
  <c r="E4" i="9"/>
  <c r="N4" i="9"/>
  <c r="E3" i="9"/>
  <c r="N3" i="9"/>
  <c r="E2" i="9"/>
  <c r="N2" i="9"/>
  <c r="R335" i="1"/>
  <c r="R334" i="1"/>
  <c r="R333" i="1"/>
  <c r="R332" i="1"/>
  <c r="R189" i="1"/>
  <c r="R188" i="1"/>
  <c r="R187" i="1"/>
  <c r="R186" i="1"/>
  <c r="R185" i="1"/>
  <c r="R184" i="1"/>
  <c r="R183" i="1"/>
  <c r="R182" i="1"/>
  <c r="R181" i="1"/>
  <c r="R83" i="1"/>
  <c r="R82" i="1"/>
  <c r="S81" i="1"/>
  <c r="U81" i="1" s="1"/>
  <c r="W81" i="1" s="1"/>
  <c r="R81" i="1"/>
  <c r="V81" i="1" s="1"/>
  <c r="R80" i="1"/>
  <c r="P79" i="1"/>
  <c r="P78" i="1"/>
  <c r="P77" i="1"/>
  <c r="P76" i="1"/>
  <c r="P75" i="1"/>
  <c r="P74" i="1"/>
  <c r="P73" i="1"/>
  <c r="P72" i="1"/>
  <c r="P71" i="1"/>
  <c r="P70" i="1"/>
  <c r="S70" i="1"/>
  <c r="R70" i="1"/>
  <c r="V70" i="1" s="1"/>
  <c r="T70" i="1"/>
  <c r="R55" i="1"/>
  <c r="E54" i="1"/>
  <c r="S54" i="1" s="1"/>
  <c r="R54" i="1"/>
  <c r="U54" i="1"/>
  <c r="T54" i="1"/>
  <c r="V54" i="1"/>
  <c r="E53" i="1"/>
  <c r="S53" i="1"/>
  <c r="R53" i="1"/>
  <c r="V53" i="1" s="1"/>
  <c r="T53" i="1"/>
  <c r="E52" i="1"/>
  <c r="T52" i="1" s="1"/>
  <c r="V52" i="1" s="1"/>
  <c r="S52" i="1"/>
  <c r="U52" i="1" s="1"/>
  <c r="W52" i="1" s="1"/>
  <c r="R52" i="1"/>
  <c r="E51" i="1"/>
  <c r="S51" i="1" s="1"/>
  <c r="R51" i="1"/>
  <c r="T51" i="1"/>
  <c r="E50" i="1"/>
  <c r="S50" i="1"/>
  <c r="U50" i="1" s="1"/>
  <c r="R50" i="1"/>
  <c r="T50" i="1"/>
  <c r="V50" i="1" s="1"/>
  <c r="E49" i="1"/>
  <c r="R49" i="1"/>
  <c r="E48" i="1"/>
  <c r="T48" i="1" s="1"/>
  <c r="V48" i="1" s="1"/>
  <c r="S48" i="1"/>
  <c r="U48" i="1" s="1"/>
  <c r="R48" i="1"/>
  <c r="E47" i="1"/>
  <c r="R47" i="1"/>
  <c r="E46" i="1"/>
  <c r="T46" i="1" s="1"/>
  <c r="S46" i="1"/>
  <c r="U46" i="1" s="1"/>
  <c r="R46" i="1"/>
  <c r="V46" i="1" s="1"/>
  <c r="E45" i="1"/>
  <c r="S45" i="1" s="1"/>
  <c r="R45" i="1"/>
  <c r="V45" i="1" s="1"/>
  <c r="T45" i="1"/>
  <c r="R44" i="1"/>
  <c r="T44" i="1"/>
  <c r="V44" i="1" s="1"/>
  <c r="W44" i="1" s="1"/>
  <c r="S43" i="1"/>
  <c r="R43" i="1"/>
  <c r="U43" i="1"/>
  <c r="T43" i="1"/>
  <c r="V43" i="1" s="1"/>
  <c r="W43" i="1" s="1"/>
  <c r="S42" i="1"/>
  <c r="R42" i="1"/>
  <c r="V42" i="1" s="1"/>
  <c r="T42" i="1"/>
  <c r="S41" i="1"/>
  <c r="R41" i="1"/>
  <c r="T41" i="1"/>
  <c r="S40" i="1"/>
  <c r="U40" i="1" s="1"/>
  <c r="W40" i="1" s="1"/>
  <c r="R40" i="1"/>
  <c r="T40" i="1"/>
  <c r="V40" i="1" s="1"/>
  <c r="S39" i="1"/>
  <c r="R39" i="1"/>
  <c r="U39" i="1"/>
  <c r="T39" i="1"/>
  <c r="V39" i="1" s="1"/>
  <c r="W39" i="1"/>
  <c r="S38" i="1"/>
  <c r="R38" i="1"/>
  <c r="V38" i="1" s="1"/>
  <c r="T38" i="1"/>
  <c r="S37" i="1"/>
  <c r="R37" i="1"/>
  <c r="T37" i="1"/>
  <c r="M36" i="1"/>
  <c r="O36" i="1" s="1"/>
  <c r="P36" i="1" s="1"/>
  <c r="M35" i="1"/>
  <c r="O35" i="1" s="1"/>
  <c r="P35" i="1" s="1"/>
  <c r="M34" i="1"/>
  <c r="O34" i="1"/>
  <c r="P34" i="1"/>
  <c r="M33" i="1"/>
  <c r="O33" i="1"/>
  <c r="P33" i="1" s="1"/>
  <c r="M32" i="1"/>
  <c r="O32" i="1" s="1"/>
  <c r="P32" i="1" s="1"/>
  <c r="M31" i="1"/>
  <c r="O31" i="1"/>
  <c r="P31" i="1" s="1"/>
  <c r="M30" i="1"/>
  <c r="O30" i="1" s="1"/>
  <c r="P30" i="1" s="1"/>
  <c r="M29" i="1"/>
  <c r="O29" i="1" s="1"/>
  <c r="P29" i="1" s="1"/>
  <c r="R28" i="1"/>
  <c r="U28" i="1"/>
  <c r="T28" i="1"/>
  <c r="V28" i="1" s="1"/>
  <c r="W28" i="1"/>
  <c r="M20" i="1"/>
  <c r="O20" i="1"/>
  <c r="P20" i="1" s="1"/>
  <c r="M19" i="1"/>
  <c r="O19" i="1" s="1"/>
  <c r="P19" i="1" s="1"/>
  <c r="T19" i="1"/>
  <c r="M18" i="1"/>
  <c r="O18" i="1" s="1"/>
  <c r="P18" i="1" s="1"/>
  <c r="S17" i="1"/>
  <c r="U17" i="1"/>
  <c r="T17" i="1"/>
  <c r="V17" i="1" s="1"/>
  <c r="W17" i="1"/>
  <c r="M16" i="1"/>
  <c r="O16" i="1"/>
  <c r="P16" i="1" s="1"/>
  <c r="M15" i="1"/>
  <c r="O15" i="1" s="1"/>
  <c r="P15" i="1" s="1"/>
  <c r="T15" i="1" s="1"/>
  <c r="M14" i="1"/>
  <c r="O14" i="1"/>
  <c r="P14" i="1"/>
  <c r="S14" i="1" s="1"/>
  <c r="T14" i="1"/>
  <c r="M13" i="1"/>
  <c r="O13" i="1"/>
  <c r="P13" i="1" s="1"/>
  <c r="S13" i="1" s="1"/>
  <c r="R13" i="1"/>
  <c r="V13" i="1" s="1"/>
  <c r="T13" i="1"/>
  <c r="M12" i="1"/>
  <c r="O12" i="1" s="1"/>
  <c r="P12" i="1" s="1"/>
  <c r="S12" i="1"/>
  <c r="M11" i="1"/>
  <c r="O11" i="1" s="1"/>
  <c r="P11" i="1" s="1"/>
  <c r="M10" i="1"/>
  <c r="O10" i="1"/>
  <c r="P10" i="1" s="1"/>
  <c r="S10" i="1" s="1"/>
  <c r="M9" i="1"/>
  <c r="O9" i="1" s="1"/>
  <c r="P9" i="1"/>
  <c r="M8" i="1"/>
  <c r="O8" i="1"/>
  <c r="P8" i="1" s="1"/>
  <c r="M7" i="1"/>
  <c r="O7" i="1" s="1"/>
  <c r="P7" i="1" s="1"/>
  <c r="T7" i="1"/>
  <c r="M6" i="1"/>
  <c r="O6" i="1" s="1"/>
  <c r="P6" i="1" s="1"/>
  <c r="M5" i="1"/>
  <c r="O5" i="1"/>
  <c r="P5" i="1" s="1"/>
  <c r="S5" i="1" s="1"/>
  <c r="R5" i="1"/>
  <c r="J116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106" i="1"/>
  <c r="E105" i="1"/>
  <c r="E104" i="1"/>
  <c r="E103" i="1"/>
  <c r="T103" i="1" s="1"/>
  <c r="E102" i="1"/>
  <c r="S102" i="1" s="1"/>
  <c r="U102" i="1" s="1"/>
  <c r="E101" i="1"/>
  <c r="E100" i="1"/>
  <c r="E99" i="1"/>
  <c r="T99" i="1" s="1"/>
  <c r="E98" i="1"/>
  <c r="E97" i="1"/>
  <c r="E96" i="1"/>
  <c r="E95" i="1"/>
  <c r="T95" i="1" s="1"/>
  <c r="E94" i="1"/>
  <c r="S94" i="1" s="1"/>
  <c r="U94" i="1" s="1"/>
  <c r="W94" i="1" s="1"/>
  <c r="E93" i="1"/>
  <c r="E92" i="1"/>
  <c r="E91" i="1"/>
  <c r="T91" i="1" s="1"/>
  <c r="E90" i="1"/>
  <c r="E89" i="1"/>
  <c r="E88" i="1"/>
  <c r="T88" i="1" s="1"/>
  <c r="E87" i="1"/>
  <c r="T87" i="1" s="1"/>
  <c r="E86" i="1"/>
  <c r="S86" i="1" s="1"/>
  <c r="U86" i="1" s="1"/>
  <c r="W86" i="1" s="1"/>
  <c r="E85" i="1"/>
  <c r="E84" i="1"/>
  <c r="E83" i="1"/>
  <c r="E82" i="1"/>
  <c r="E81" i="1"/>
  <c r="T81" i="1" s="1"/>
  <c r="E80" i="1"/>
  <c r="S80" i="1" s="1"/>
  <c r="U80" i="1" s="1"/>
  <c r="M106" i="1"/>
  <c r="O106" i="1" s="1"/>
  <c r="M105" i="1"/>
  <c r="M104" i="1"/>
  <c r="M103" i="1"/>
  <c r="M102" i="1"/>
  <c r="M101" i="1"/>
  <c r="M100" i="1"/>
  <c r="M99" i="1"/>
  <c r="O99" i="1" s="1"/>
  <c r="M98" i="1"/>
  <c r="M97" i="1"/>
  <c r="O97" i="1" s="1"/>
  <c r="M96" i="1"/>
  <c r="M95" i="1"/>
  <c r="M94" i="1"/>
  <c r="M93" i="1"/>
  <c r="M92" i="1"/>
  <c r="M91" i="1"/>
  <c r="O91" i="1" s="1"/>
  <c r="M90" i="1"/>
  <c r="M89" i="1"/>
  <c r="M88" i="1"/>
  <c r="M87" i="1"/>
  <c r="M86" i="1"/>
  <c r="M85" i="1"/>
  <c r="M84" i="1"/>
  <c r="M83" i="1"/>
  <c r="O83" i="1" s="1"/>
  <c r="M82" i="1"/>
  <c r="O82" i="1" s="1"/>
  <c r="M81" i="1"/>
  <c r="O81" i="1" s="1"/>
  <c r="M80" i="1"/>
  <c r="T251" i="1"/>
  <c r="T221" i="1"/>
  <c r="T220" i="1"/>
  <c r="T177" i="1"/>
  <c r="V177" i="1" s="1"/>
  <c r="T170" i="1"/>
  <c r="T144" i="1"/>
  <c r="T130" i="1"/>
  <c r="T126" i="1"/>
  <c r="V126" i="1" s="1"/>
  <c r="T106" i="1"/>
  <c r="O105" i="1"/>
  <c r="T105" i="1"/>
  <c r="O104" i="1"/>
  <c r="T104" i="1"/>
  <c r="O103" i="1"/>
  <c r="O102" i="1"/>
  <c r="O101" i="1"/>
  <c r="T101" i="1"/>
  <c r="O100" i="1"/>
  <c r="T100" i="1"/>
  <c r="O98" i="1"/>
  <c r="T98" i="1"/>
  <c r="T97" i="1"/>
  <c r="O96" i="1"/>
  <c r="T96" i="1"/>
  <c r="O95" i="1"/>
  <c r="O94" i="1"/>
  <c r="T94" i="1"/>
  <c r="O93" i="1"/>
  <c r="T93" i="1"/>
  <c r="O92" i="1"/>
  <c r="T92" i="1"/>
  <c r="O90" i="1"/>
  <c r="T90" i="1"/>
  <c r="O89" i="1"/>
  <c r="T89" i="1"/>
  <c r="O88" i="1"/>
  <c r="O87" i="1"/>
  <c r="O86" i="1"/>
  <c r="T86" i="1"/>
  <c r="O85" i="1"/>
  <c r="T85" i="1"/>
  <c r="O84" i="1"/>
  <c r="T84" i="1"/>
  <c r="O80" i="1"/>
  <c r="S324" i="1"/>
  <c r="S292" i="1"/>
  <c r="S270" i="1"/>
  <c r="S260" i="1"/>
  <c r="U260" i="1" s="1"/>
  <c r="S228" i="1"/>
  <c r="U228" i="1" s="1"/>
  <c r="S222" i="1"/>
  <c r="S221" i="1"/>
  <c r="S220" i="1"/>
  <c r="S216" i="1"/>
  <c r="S213" i="1"/>
  <c r="S133" i="1"/>
  <c r="S126" i="1"/>
  <c r="U126" i="1" s="1"/>
  <c r="W126" i="1" s="1"/>
  <c r="S106" i="1"/>
  <c r="S105" i="1"/>
  <c r="S104" i="1"/>
  <c r="U104" i="1" s="1"/>
  <c r="S103" i="1"/>
  <c r="U103" i="1" s="1"/>
  <c r="W103" i="1" s="1"/>
  <c r="S101" i="1"/>
  <c r="S100" i="1"/>
  <c r="S99" i="1"/>
  <c r="U99" i="1" s="1"/>
  <c r="W99" i="1" s="1"/>
  <c r="S98" i="1"/>
  <c r="S97" i="1"/>
  <c r="S96" i="1"/>
  <c r="U96" i="1" s="1"/>
  <c r="S95" i="1"/>
  <c r="U95" i="1" s="1"/>
  <c r="W95" i="1" s="1"/>
  <c r="S93" i="1"/>
  <c r="S92" i="1"/>
  <c r="U92" i="1" s="1"/>
  <c r="W92" i="1" s="1"/>
  <c r="S91" i="1"/>
  <c r="U91" i="1" s="1"/>
  <c r="W91" i="1" s="1"/>
  <c r="S90" i="1"/>
  <c r="S89" i="1"/>
  <c r="S88" i="1"/>
  <c r="U88" i="1" s="1"/>
  <c r="S87" i="1"/>
  <c r="U87" i="1" s="1"/>
  <c r="W87" i="1" s="1"/>
  <c r="S85" i="1"/>
  <c r="S84" i="1"/>
  <c r="R348" i="1"/>
  <c r="V348" i="1" s="1"/>
  <c r="R280" i="1"/>
  <c r="V280" i="1" s="1"/>
  <c r="R258" i="1"/>
  <c r="R222" i="1"/>
  <c r="V222" i="1" s="1"/>
  <c r="R131" i="1"/>
  <c r="V131" i="1" s="1"/>
  <c r="R106" i="1"/>
  <c r="V106" i="1" s="1"/>
  <c r="R105" i="1"/>
  <c r="R104" i="1"/>
  <c r="R103" i="1"/>
  <c r="V103" i="1" s="1"/>
  <c r="R102" i="1"/>
  <c r="R101" i="1"/>
  <c r="V101" i="1" s="1"/>
  <c r="R100" i="1"/>
  <c r="V100" i="1" s="1"/>
  <c r="R99" i="1"/>
  <c r="V99" i="1" s="1"/>
  <c r="R98" i="1"/>
  <c r="R97" i="1"/>
  <c r="R96" i="1"/>
  <c r="R95" i="1"/>
  <c r="V95" i="1" s="1"/>
  <c r="R94" i="1"/>
  <c r="V94" i="1" s="1"/>
  <c r="R93" i="1"/>
  <c r="V93" i="1" s="1"/>
  <c r="R92" i="1"/>
  <c r="V92" i="1" s="1"/>
  <c r="R91" i="1"/>
  <c r="V91" i="1" s="1"/>
  <c r="R90" i="1"/>
  <c r="R89" i="1"/>
  <c r="R88" i="1"/>
  <c r="R87" i="1"/>
  <c r="V87" i="1" s="1"/>
  <c r="R86" i="1"/>
  <c r="V86" i="1" s="1"/>
  <c r="R85" i="1"/>
  <c r="V85" i="1" s="1"/>
  <c r="R84" i="1"/>
  <c r="V84" i="1" s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59" i="1"/>
  <c r="Q58" i="1"/>
  <c r="Q57" i="1"/>
  <c r="Q56" i="1"/>
  <c r="Q2" i="1"/>
  <c r="P348" i="1"/>
  <c r="P347" i="1"/>
  <c r="R347" i="1" s="1"/>
  <c r="P346" i="1"/>
  <c r="P330" i="1"/>
  <c r="P315" i="1"/>
  <c r="R315" i="1" s="1"/>
  <c r="P314" i="1"/>
  <c r="S314" i="1" s="1"/>
  <c r="P310" i="1"/>
  <c r="P298" i="1"/>
  <c r="P288" i="1"/>
  <c r="P283" i="1"/>
  <c r="R283" i="1" s="1"/>
  <c r="P282" i="1"/>
  <c r="P266" i="1"/>
  <c r="P262" i="1"/>
  <c r="P251" i="1"/>
  <c r="S251" i="1" s="1"/>
  <c r="P250" i="1"/>
  <c r="P222" i="1"/>
  <c r="T222" i="1" s="1"/>
  <c r="P221" i="1"/>
  <c r="R221" i="1" s="1"/>
  <c r="P220" i="1"/>
  <c r="R220" i="1" s="1"/>
  <c r="V220" i="1" s="1"/>
  <c r="P219" i="1"/>
  <c r="S219" i="1" s="1"/>
  <c r="P218" i="1"/>
  <c r="S218" i="1" s="1"/>
  <c r="P217" i="1"/>
  <c r="T217" i="1" s="1"/>
  <c r="P216" i="1"/>
  <c r="T216" i="1" s="1"/>
  <c r="P215" i="1"/>
  <c r="T215" i="1" s="1"/>
  <c r="P214" i="1"/>
  <c r="T214" i="1" s="1"/>
  <c r="P213" i="1"/>
  <c r="T213" i="1" s="1"/>
  <c r="P210" i="1"/>
  <c r="R210" i="1" s="1"/>
  <c r="P174" i="1"/>
  <c r="R174" i="1" s="1"/>
  <c r="P152" i="1"/>
  <c r="R152" i="1" s="1"/>
  <c r="P143" i="1"/>
  <c r="R143" i="1" s="1"/>
  <c r="P136" i="1"/>
  <c r="P135" i="1"/>
  <c r="R135" i="1" s="1"/>
  <c r="P134" i="1"/>
  <c r="R134" i="1" s="1"/>
  <c r="P133" i="1"/>
  <c r="P132" i="1"/>
  <c r="P131" i="1"/>
  <c r="T131" i="1" s="1"/>
  <c r="P130" i="1"/>
  <c r="S130" i="1" s="1"/>
  <c r="P123" i="1"/>
  <c r="P115" i="1"/>
  <c r="T115" i="1" s="1"/>
  <c r="P107" i="1"/>
  <c r="T107" i="1" s="1"/>
  <c r="O350" i="1"/>
  <c r="P350" i="1" s="1"/>
  <c r="R350" i="1" s="1"/>
  <c r="O348" i="1"/>
  <c r="O347" i="1"/>
  <c r="O340" i="1"/>
  <c r="P340" i="1" s="1"/>
  <c r="R340" i="1" s="1"/>
  <c r="O339" i="1"/>
  <c r="P339" i="1" s="1"/>
  <c r="R339" i="1" s="1"/>
  <c r="O332" i="1"/>
  <c r="O331" i="1"/>
  <c r="P331" i="1" s="1"/>
  <c r="O324" i="1"/>
  <c r="P324" i="1" s="1"/>
  <c r="O323" i="1"/>
  <c r="P323" i="1" s="1"/>
  <c r="O318" i="1"/>
  <c r="P318" i="1" s="1"/>
  <c r="O316" i="1"/>
  <c r="P316" i="1" s="1"/>
  <c r="S316" i="1" s="1"/>
  <c r="O315" i="1"/>
  <c r="O308" i="1"/>
  <c r="P308" i="1" s="1"/>
  <c r="O307" i="1"/>
  <c r="P307" i="1" s="1"/>
  <c r="O300" i="1"/>
  <c r="P300" i="1" s="1"/>
  <c r="O299" i="1"/>
  <c r="P299" i="1" s="1"/>
  <c r="O292" i="1"/>
  <c r="P292" i="1" s="1"/>
  <c r="O291" i="1"/>
  <c r="P291" i="1" s="1"/>
  <c r="O286" i="1"/>
  <c r="P286" i="1" s="1"/>
  <c r="O284" i="1"/>
  <c r="P284" i="1" s="1"/>
  <c r="S284" i="1" s="1"/>
  <c r="O283" i="1"/>
  <c r="O276" i="1"/>
  <c r="P276" i="1" s="1"/>
  <c r="O275" i="1"/>
  <c r="P275" i="1" s="1"/>
  <c r="O268" i="1"/>
  <c r="P268" i="1" s="1"/>
  <c r="O267" i="1"/>
  <c r="P267" i="1" s="1"/>
  <c r="O260" i="1"/>
  <c r="P260" i="1" s="1"/>
  <c r="R260" i="1" s="1"/>
  <c r="O259" i="1"/>
  <c r="P259" i="1" s="1"/>
  <c r="O252" i="1"/>
  <c r="P252" i="1" s="1"/>
  <c r="R252" i="1" s="1"/>
  <c r="O251" i="1"/>
  <c r="O244" i="1"/>
  <c r="P244" i="1" s="1"/>
  <c r="O243" i="1"/>
  <c r="P243" i="1" s="1"/>
  <c r="O236" i="1"/>
  <c r="P236" i="1" s="1"/>
  <c r="O235" i="1"/>
  <c r="P235" i="1" s="1"/>
  <c r="O228" i="1"/>
  <c r="P228" i="1" s="1"/>
  <c r="R228" i="1" s="1"/>
  <c r="O227" i="1"/>
  <c r="P227" i="1" s="1"/>
  <c r="O223" i="1"/>
  <c r="P223" i="1" s="1"/>
  <c r="O210" i="1"/>
  <c r="O209" i="1"/>
  <c r="O204" i="1"/>
  <c r="P204" i="1" s="1"/>
  <c r="R204" i="1" s="1"/>
  <c r="O202" i="1"/>
  <c r="P202" i="1" s="1"/>
  <c r="R202" i="1" s="1"/>
  <c r="O201" i="1"/>
  <c r="P201" i="1" s="1"/>
  <c r="R201" i="1" s="1"/>
  <c r="O194" i="1"/>
  <c r="P194" i="1" s="1"/>
  <c r="R194" i="1" s="1"/>
  <c r="O193" i="1"/>
  <c r="P193" i="1" s="1"/>
  <c r="O186" i="1"/>
  <c r="O185" i="1"/>
  <c r="O178" i="1"/>
  <c r="P178" i="1" s="1"/>
  <c r="R178" i="1" s="1"/>
  <c r="O177" i="1"/>
  <c r="O172" i="1"/>
  <c r="P172" i="1" s="1"/>
  <c r="R172" i="1" s="1"/>
  <c r="O170" i="1"/>
  <c r="P170" i="1" s="1"/>
  <c r="R170" i="1" s="1"/>
  <c r="O169" i="1"/>
  <c r="P169" i="1" s="1"/>
  <c r="O162" i="1"/>
  <c r="P162" i="1" s="1"/>
  <c r="R162" i="1" s="1"/>
  <c r="O161" i="1"/>
  <c r="P161" i="1" s="1"/>
  <c r="R161" i="1" s="1"/>
  <c r="O157" i="1"/>
  <c r="P157" i="1" s="1"/>
  <c r="R157" i="1" s="1"/>
  <c r="O154" i="1"/>
  <c r="P154" i="1" s="1"/>
  <c r="R154" i="1" s="1"/>
  <c r="O153" i="1"/>
  <c r="P153" i="1" s="1"/>
  <c r="R153" i="1" s="1"/>
  <c r="O146" i="1"/>
  <c r="P146" i="1" s="1"/>
  <c r="R146" i="1" s="1"/>
  <c r="O145" i="1"/>
  <c r="P145" i="1" s="1"/>
  <c r="R145" i="1" s="1"/>
  <c r="O138" i="1"/>
  <c r="P138" i="1" s="1"/>
  <c r="R138" i="1" s="1"/>
  <c r="O137" i="1"/>
  <c r="P137" i="1" s="1"/>
  <c r="R137" i="1" s="1"/>
  <c r="O123" i="1"/>
  <c r="O122" i="1"/>
  <c r="P122" i="1" s="1"/>
  <c r="O115" i="1"/>
  <c r="O114" i="1"/>
  <c r="P114" i="1" s="1"/>
  <c r="O107" i="1"/>
  <c r="M17" i="1"/>
  <c r="O17" i="1" s="1"/>
  <c r="M354" i="1"/>
  <c r="O354" i="1" s="1"/>
  <c r="P354" i="1" s="1"/>
  <c r="R354" i="1" s="1"/>
  <c r="M353" i="1"/>
  <c r="O353" i="1" s="1"/>
  <c r="P353" i="1" s="1"/>
  <c r="M352" i="1"/>
  <c r="O352" i="1" s="1"/>
  <c r="P352" i="1" s="1"/>
  <c r="R352" i="1" s="1"/>
  <c r="M351" i="1"/>
  <c r="O351" i="1" s="1"/>
  <c r="M350" i="1"/>
  <c r="M349" i="1"/>
  <c r="O349" i="1" s="1"/>
  <c r="P349" i="1" s="1"/>
  <c r="R349" i="1" s="1"/>
  <c r="M348" i="1"/>
  <c r="M347" i="1"/>
  <c r="M346" i="1"/>
  <c r="O346" i="1" s="1"/>
  <c r="M345" i="1"/>
  <c r="O345" i="1" s="1"/>
  <c r="P345" i="1" s="1"/>
  <c r="M344" i="1"/>
  <c r="O344" i="1" s="1"/>
  <c r="P344" i="1" s="1"/>
  <c r="R344" i="1" s="1"/>
  <c r="M343" i="1"/>
  <c r="O343" i="1" s="1"/>
  <c r="P343" i="1" s="1"/>
  <c r="R343" i="1" s="1"/>
  <c r="M342" i="1"/>
  <c r="O342" i="1" s="1"/>
  <c r="P342" i="1" s="1"/>
  <c r="R342" i="1" s="1"/>
  <c r="M341" i="1"/>
  <c r="O341" i="1" s="1"/>
  <c r="P341" i="1" s="1"/>
  <c r="R341" i="1" s="1"/>
  <c r="M340" i="1"/>
  <c r="M339" i="1"/>
  <c r="M338" i="1"/>
  <c r="O338" i="1" s="1"/>
  <c r="P338" i="1" s="1"/>
  <c r="R338" i="1" s="1"/>
  <c r="M337" i="1"/>
  <c r="O337" i="1" s="1"/>
  <c r="P337" i="1" s="1"/>
  <c r="M336" i="1"/>
  <c r="O336" i="1" s="1"/>
  <c r="P336" i="1" s="1"/>
  <c r="R336" i="1" s="1"/>
  <c r="M335" i="1"/>
  <c r="O335" i="1" s="1"/>
  <c r="M334" i="1"/>
  <c r="O334" i="1" s="1"/>
  <c r="M333" i="1"/>
  <c r="O333" i="1" s="1"/>
  <c r="M332" i="1"/>
  <c r="M331" i="1"/>
  <c r="M330" i="1"/>
  <c r="O330" i="1" s="1"/>
  <c r="M329" i="1"/>
  <c r="O329" i="1" s="1"/>
  <c r="P329" i="1" s="1"/>
  <c r="M328" i="1"/>
  <c r="O328" i="1" s="1"/>
  <c r="P328" i="1" s="1"/>
  <c r="M327" i="1"/>
  <c r="O327" i="1" s="1"/>
  <c r="P327" i="1" s="1"/>
  <c r="M326" i="1"/>
  <c r="O326" i="1" s="1"/>
  <c r="P326" i="1" s="1"/>
  <c r="M325" i="1"/>
  <c r="O325" i="1" s="1"/>
  <c r="P325" i="1" s="1"/>
  <c r="T325" i="1" s="1"/>
  <c r="M324" i="1"/>
  <c r="M323" i="1"/>
  <c r="M322" i="1"/>
  <c r="O322" i="1" s="1"/>
  <c r="P322" i="1" s="1"/>
  <c r="M321" i="1"/>
  <c r="O321" i="1" s="1"/>
  <c r="P321" i="1" s="1"/>
  <c r="M320" i="1"/>
  <c r="O320" i="1" s="1"/>
  <c r="P320" i="1" s="1"/>
  <c r="M319" i="1"/>
  <c r="O319" i="1" s="1"/>
  <c r="P319" i="1" s="1"/>
  <c r="M318" i="1"/>
  <c r="M317" i="1"/>
  <c r="O317" i="1" s="1"/>
  <c r="P317" i="1" s="1"/>
  <c r="M316" i="1"/>
  <c r="M315" i="1"/>
  <c r="M314" i="1"/>
  <c r="O314" i="1" s="1"/>
  <c r="M313" i="1"/>
  <c r="O313" i="1" s="1"/>
  <c r="P313" i="1" s="1"/>
  <c r="M312" i="1"/>
  <c r="O312" i="1" s="1"/>
  <c r="P312" i="1" s="1"/>
  <c r="T312" i="1" s="1"/>
  <c r="M311" i="1"/>
  <c r="O311" i="1" s="1"/>
  <c r="P311" i="1" s="1"/>
  <c r="M310" i="1"/>
  <c r="O310" i="1" s="1"/>
  <c r="M309" i="1"/>
  <c r="O309" i="1" s="1"/>
  <c r="P309" i="1" s="1"/>
  <c r="M308" i="1"/>
  <c r="M307" i="1"/>
  <c r="M306" i="1"/>
  <c r="O306" i="1" s="1"/>
  <c r="P306" i="1" s="1"/>
  <c r="M305" i="1"/>
  <c r="O305" i="1" s="1"/>
  <c r="P305" i="1" s="1"/>
  <c r="M304" i="1"/>
  <c r="O304" i="1" s="1"/>
  <c r="P304" i="1" s="1"/>
  <c r="M303" i="1"/>
  <c r="O303" i="1" s="1"/>
  <c r="P303" i="1" s="1"/>
  <c r="M302" i="1"/>
  <c r="O302" i="1" s="1"/>
  <c r="P302" i="1" s="1"/>
  <c r="T302" i="1" s="1"/>
  <c r="M301" i="1"/>
  <c r="O301" i="1" s="1"/>
  <c r="P301" i="1" s="1"/>
  <c r="M300" i="1"/>
  <c r="M299" i="1"/>
  <c r="M298" i="1"/>
  <c r="O298" i="1" s="1"/>
  <c r="M297" i="1"/>
  <c r="O297" i="1" s="1"/>
  <c r="P297" i="1" s="1"/>
  <c r="M296" i="1"/>
  <c r="O296" i="1" s="1"/>
  <c r="P296" i="1" s="1"/>
  <c r="M295" i="1"/>
  <c r="O295" i="1" s="1"/>
  <c r="P295" i="1" s="1"/>
  <c r="M294" i="1"/>
  <c r="O294" i="1" s="1"/>
  <c r="P294" i="1" s="1"/>
  <c r="M293" i="1"/>
  <c r="O293" i="1" s="1"/>
  <c r="P293" i="1" s="1"/>
  <c r="M292" i="1"/>
  <c r="M291" i="1"/>
  <c r="M290" i="1"/>
  <c r="O290" i="1" s="1"/>
  <c r="P290" i="1" s="1"/>
  <c r="R290" i="1" s="1"/>
  <c r="M289" i="1"/>
  <c r="O289" i="1" s="1"/>
  <c r="P289" i="1" s="1"/>
  <c r="M288" i="1"/>
  <c r="O288" i="1" s="1"/>
  <c r="M287" i="1"/>
  <c r="O287" i="1" s="1"/>
  <c r="P287" i="1" s="1"/>
  <c r="M286" i="1"/>
  <c r="M285" i="1"/>
  <c r="O285" i="1" s="1"/>
  <c r="P285" i="1" s="1"/>
  <c r="M284" i="1"/>
  <c r="M283" i="1"/>
  <c r="M282" i="1"/>
  <c r="O282" i="1" s="1"/>
  <c r="M281" i="1"/>
  <c r="O281" i="1" s="1"/>
  <c r="P281" i="1" s="1"/>
  <c r="M280" i="1"/>
  <c r="O280" i="1" s="1"/>
  <c r="P280" i="1" s="1"/>
  <c r="T280" i="1" s="1"/>
  <c r="M279" i="1"/>
  <c r="O279" i="1" s="1"/>
  <c r="P279" i="1" s="1"/>
  <c r="M278" i="1"/>
  <c r="O278" i="1" s="1"/>
  <c r="P278" i="1" s="1"/>
  <c r="M277" i="1"/>
  <c r="O277" i="1" s="1"/>
  <c r="P277" i="1" s="1"/>
  <c r="M276" i="1"/>
  <c r="M275" i="1"/>
  <c r="M274" i="1"/>
  <c r="O274" i="1" s="1"/>
  <c r="P274" i="1" s="1"/>
  <c r="M273" i="1"/>
  <c r="O273" i="1" s="1"/>
  <c r="P273" i="1" s="1"/>
  <c r="M272" i="1"/>
  <c r="O272" i="1" s="1"/>
  <c r="P272" i="1" s="1"/>
  <c r="M271" i="1"/>
  <c r="O271" i="1" s="1"/>
  <c r="P271" i="1" s="1"/>
  <c r="M270" i="1"/>
  <c r="O270" i="1" s="1"/>
  <c r="P270" i="1" s="1"/>
  <c r="T270" i="1" s="1"/>
  <c r="M269" i="1"/>
  <c r="O269" i="1" s="1"/>
  <c r="P269" i="1" s="1"/>
  <c r="M268" i="1"/>
  <c r="M267" i="1"/>
  <c r="M266" i="1"/>
  <c r="O266" i="1" s="1"/>
  <c r="M265" i="1"/>
  <c r="O265" i="1" s="1"/>
  <c r="P265" i="1" s="1"/>
  <c r="T265" i="1" s="1"/>
  <c r="M264" i="1"/>
  <c r="O264" i="1" s="1"/>
  <c r="P264" i="1" s="1"/>
  <c r="M263" i="1"/>
  <c r="O263" i="1" s="1"/>
  <c r="P263" i="1" s="1"/>
  <c r="M262" i="1"/>
  <c r="O262" i="1" s="1"/>
  <c r="M261" i="1"/>
  <c r="O261" i="1" s="1"/>
  <c r="P261" i="1" s="1"/>
  <c r="M260" i="1"/>
  <c r="M259" i="1"/>
  <c r="M258" i="1"/>
  <c r="O258" i="1" s="1"/>
  <c r="P258" i="1" s="1"/>
  <c r="M257" i="1"/>
  <c r="O257" i="1" s="1"/>
  <c r="P257" i="1" s="1"/>
  <c r="M256" i="1"/>
  <c r="O256" i="1" s="1"/>
  <c r="P256" i="1" s="1"/>
  <c r="M255" i="1"/>
  <c r="O255" i="1" s="1"/>
  <c r="P255" i="1" s="1"/>
  <c r="M254" i="1"/>
  <c r="O254" i="1" s="1"/>
  <c r="P254" i="1" s="1"/>
  <c r="M253" i="1"/>
  <c r="O253" i="1" s="1"/>
  <c r="P253" i="1" s="1"/>
  <c r="M252" i="1"/>
  <c r="M251" i="1"/>
  <c r="M250" i="1"/>
  <c r="O250" i="1" s="1"/>
  <c r="M249" i="1"/>
  <c r="O249" i="1" s="1"/>
  <c r="P249" i="1" s="1"/>
  <c r="M248" i="1"/>
  <c r="O248" i="1" s="1"/>
  <c r="P248" i="1" s="1"/>
  <c r="T248" i="1" s="1"/>
  <c r="M247" i="1"/>
  <c r="O247" i="1" s="1"/>
  <c r="P247" i="1" s="1"/>
  <c r="M246" i="1"/>
  <c r="O246" i="1" s="1"/>
  <c r="P246" i="1" s="1"/>
  <c r="M245" i="1"/>
  <c r="O245" i="1" s="1"/>
  <c r="P245" i="1" s="1"/>
  <c r="M244" i="1"/>
  <c r="M243" i="1"/>
  <c r="M242" i="1"/>
  <c r="O242" i="1" s="1"/>
  <c r="P242" i="1" s="1"/>
  <c r="M241" i="1"/>
  <c r="O241" i="1" s="1"/>
  <c r="P241" i="1" s="1"/>
  <c r="M240" i="1"/>
  <c r="O240" i="1" s="1"/>
  <c r="P240" i="1" s="1"/>
  <c r="M239" i="1"/>
  <c r="O239" i="1" s="1"/>
  <c r="P239" i="1" s="1"/>
  <c r="M238" i="1"/>
  <c r="O238" i="1" s="1"/>
  <c r="P238" i="1" s="1"/>
  <c r="T238" i="1" s="1"/>
  <c r="M237" i="1"/>
  <c r="O237" i="1" s="1"/>
  <c r="P237" i="1" s="1"/>
  <c r="M236" i="1"/>
  <c r="M235" i="1"/>
  <c r="M234" i="1"/>
  <c r="O234" i="1" s="1"/>
  <c r="P234" i="1" s="1"/>
  <c r="M233" i="1"/>
  <c r="O233" i="1" s="1"/>
  <c r="P233" i="1" s="1"/>
  <c r="M232" i="1"/>
  <c r="O232" i="1" s="1"/>
  <c r="P232" i="1" s="1"/>
  <c r="M231" i="1"/>
  <c r="O231" i="1" s="1"/>
  <c r="P231" i="1" s="1"/>
  <c r="M230" i="1"/>
  <c r="O230" i="1" s="1"/>
  <c r="P230" i="1" s="1"/>
  <c r="M229" i="1"/>
  <c r="O229" i="1" s="1"/>
  <c r="P229" i="1" s="1"/>
  <c r="M228" i="1"/>
  <c r="M227" i="1"/>
  <c r="M226" i="1"/>
  <c r="O226" i="1" s="1"/>
  <c r="P226" i="1" s="1"/>
  <c r="M225" i="1"/>
  <c r="O225" i="1" s="1"/>
  <c r="P225" i="1" s="1"/>
  <c r="M224" i="1"/>
  <c r="O224" i="1" s="1"/>
  <c r="P224" i="1" s="1"/>
  <c r="M223" i="1"/>
  <c r="M212" i="1"/>
  <c r="O212" i="1" s="1"/>
  <c r="P212" i="1" s="1"/>
  <c r="R212" i="1" s="1"/>
  <c r="M211" i="1"/>
  <c r="O211" i="1" s="1"/>
  <c r="P211" i="1" s="1"/>
  <c r="R211" i="1" s="1"/>
  <c r="M210" i="1"/>
  <c r="M209" i="1"/>
  <c r="M208" i="1"/>
  <c r="O208" i="1" s="1"/>
  <c r="P208" i="1" s="1"/>
  <c r="R208" i="1" s="1"/>
  <c r="M207" i="1"/>
  <c r="O207" i="1" s="1"/>
  <c r="P207" i="1" s="1"/>
  <c r="M206" i="1"/>
  <c r="O206" i="1" s="1"/>
  <c r="P206" i="1" s="1"/>
  <c r="M205" i="1"/>
  <c r="O205" i="1" s="1"/>
  <c r="P205" i="1" s="1"/>
  <c r="R205" i="1" s="1"/>
  <c r="M204" i="1"/>
  <c r="M203" i="1"/>
  <c r="O203" i="1" s="1"/>
  <c r="P203" i="1" s="1"/>
  <c r="R203" i="1" s="1"/>
  <c r="M202" i="1"/>
  <c r="M201" i="1"/>
  <c r="M200" i="1"/>
  <c r="O200" i="1" s="1"/>
  <c r="P200" i="1" s="1"/>
  <c r="R200" i="1" s="1"/>
  <c r="M199" i="1"/>
  <c r="O199" i="1" s="1"/>
  <c r="P199" i="1" s="1"/>
  <c r="M198" i="1"/>
  <c r="O198" i="1" s="1"/>
  <c r="P198" i="1" s="1"/>
  <c r="M197" i="1"/>
  <c r="O197" i="1" s="1"/>
  <c r="P197" i="1" s="1"/>
  <c r="R197" i="1" s="1"/>
  <c r="M196" i="1"/>
  <c r="O196" i="1" s="1"/>
  <c r="P196" i="1" s="1"/>
  <c r="R196" i="1" s="1"/>
  <c r="M195" i="1"/>
  <c r="O195" i="1" s="1"/>
  <c r="P195" i="1" s="1"/>
  <c r="R195" i="1" s="1"/>
  <c r="M194" i="1"/>
  <c r="M193" i="1"/>
  <c r="M192" i="1"/>
  <c r="O192" i="1" s="1"/>
  <c r="P192" i="1" s="1"/>
  <c r="M191" i="1"/>
  <c r="O191" i="1" s="1"/>
  <c r="P191" i="1" s="1"/>
  <c r="M190" i="1"/>
  <c r="O190" i="1" s="1"/>
  <c r="P190" i="1" s="1"/>
  <c r="M189" i="1"/>
  <c r="O189" i="1" s="1"/>
  <c r="M188" i="1"/>
  <c r="O188" i="1" s="1"/>
  <c r="M187" i="1"/>
  <c r="O187" i="1" s="1"/>
  <c r="M186" i="1"/>
  <c r="M185" i="1"/>
  <c r="M184" i="1"/>
  <c r="O184" i="1" s="1"/>
  <c r="M183" i="1"/>
  <c r="O183" i="1" s="1"/>
  <c r="M182" i="1"/>
  <c r="O182" i="1" s="1"/>
  <c r="M181" i="1"/>
  <c r="O181" i="1" s="1"/>
  <c r="M180" i="1"/>
  <c r="O180" i="1" s="1"/>
  <c r="P180" i="1" s="1"/>
  <c r="R180" i="1" s="1"/>
  <c r="M179" i="1"/>
  <c r="O179" i="1" s="1"/>
  <c r="P179" i="1" s="1"/>
  <c r="R179" i="1" s="1"/>
  <c r="M178" i="1"/>
  <c r="M177" i="1"/>
  <c r="M176" i="1"/>
  <c r="O176" i="1" s="1"/>
  <c r="P176" i="1" s="1"/>
  <c r="R176" i="1" s="1"/>
  <c r="M175" i="1"/>
  <c r="O175" i="1" s="1"/>
  <c r="P175" i="1" s="1"/>
  <c r="R175" i="1" s="1"/>
  <c r="M174" i="1"/>
  <c r="O174" i="1" s="1"/>
  <c r="M173" i="1"/>
  <c r="O173" i="1" s="1"/>
  <c r="P173" i="1" s="1"/>
  <c r="R173" i="1" s="1"/>
  <c r="M172" i="1"/>
  <c r="M171" i="1"/>
  <c r="O171" i="1" s="1"/>
  <c r="P171" i="1" s="1"/>
  <c r="R171" i="1" s="1"/>
  <c r="M170" i="1"/>
  <c r="M169" i="1"/>
  <c r="M168" i="1"/>
  <c r="O168" i="1" s="1"/>
  <c r="P168" i="1" s="1"/>
  <c r="R168" i="1" s="1"/>
  <c r="M167" i="1"/>
  <c r="O167" i="1" s="1"/>
  <c r="P167" i="1" s="1"/>
  <c r="R167" i="1" s="1"/>
  <c r="M166" i="1"/>
  <c r="O166" i="1" s="1"/>
  <c r="P166" i="1" s="1"/>
  <c r="R166" i="1" s="1"/>
  <c r="M165" i="1"/>
  <c r="O165" i="1" s="1"/>
  <c r="P165" i="1" s="1"/>
  <c r="R165" i="1" s="1"/>
  <c r="M164" i="1"/>
  <c r="O164" i="1" s="1"/>
  <c r="P164" i="1" s="1"/>
  <c r="R164" i="1" s="1"/>
  <c r="M163" i="1"/>
  <c r="O163" i="1" s="1"/>
  <c r="P163" i="1" s="1"/>
  <c r="R163" i="1" s="1"/>
  <c r="M162" i="1"/>
  <c r="M161" i="1"/>
  <c r="M160" i="1"/>
  <c r="O160" i="1" s="1"/>
  <c r="P160" i="1" s="1"/>
  <c r="R160" i="1" s="1"/>
  <c r="M159" i="1"/>
  <c r="O159" i="1" s="1"/>
  <c r="P159" i="1" s="1"/>
  <c r="R159" i="1" s="1"/>
  <c r="M158" i="1"/>
  <c r="O158" i="1" s="1"/>
  <c r="P158" i="1" s="1"/>
  <c r="R158" i="1" s="1"/>
  <c r="M157" i="1"/>
  <c r="M156" i="1"/>
  <c r="O156" i="1" s="1"/>
  <c r="P156" i="1" s="1"/>
  <c r="M155" i="1"/>
  <c r="O155" i="1" s="1"/>
  <c r="P155" i="1" s="1"/>
  <c r="M154" i="1"/>
  <c r="M153" i="1"/>
  <c r="M152" i="1"/>
  <c r="O152" i="1" s="1"/>
  <c r="M151" i="1"/>
  <c r="O151" i="1" s="1"/>
  <c r="P151" i="1" s="1"/>
  <c r="R151" i="1" s="1"/>
  <c r="M150" i="1"/>
  <c r="O150" i="1" s="1"/>
  <c r="P150" i="1" s="1"/>
  <c r="R150" i="1" s="1"/>
  <c r="M149" i="1"/>
  <c r="O149" i="1" s="1"/>
  <c r="P149" i="1" s="1"/>
  <c r="R149" i="1" s="1"/>
  <c r="M148" i="1"/>
  <c r="O148" i="1" s="1"/>
  <c r="P148" i="1" s="1"/>
  <c r="M147" i="1"/>
  <c r="O147" i="1" s="1"/>
  <c r="P147" i="1" s="1"/>
  <c r="M146" i="1"/>
  <c r="M145" i="1"/>
  <c r="M144" i="1"/>
  <c r="O144" i="1" s="1"/>
  <c r="P144" i="1" s="1"/>
  <c r="R144" i="1" s="1"/>
  <c r="M143" i="1"/>
  <c r="O143" i="1" s="1"/>
  <c r="M142" i="1"/>
  <c r="O142" i="1" s="1"/>
  <c r="P142" i="1" s="1"/>
  <c r="R142" i="1" s="1"/>
  <c r="M141" i="1"/>
  <c r="O141" i="1" s="1"/>
  <c r="P141" i="1" s="1"/>
  <c r="R141" i="1" s="1"/>
  <c r="M140" i="1"/>
  <c r="O140" i="1" s="1"/>
  <c r="P140" i="1" s="1"/>
  <c r="M139" i="1"/>
  <c r="O139" i="1" s="1"/>
  <c r="P139" i="1" s="1"/>
  <c r="M138" i="1"/>
  <c r="M137" i="1"/>
  <c r="M129" i="1"/>
  <c r="O129" i="1" s="1"/>
  <c r="P129" i="1" s="1"/>
  <c r="M128" i="1"/>
  <c r="O128" i="1" s="1"/>
  <c r="P128" i="1" s="1"/>
  <c r="M127" i="1"/>
  <c r="O127" i="1" s="1"/>
  <c r="P127" i="1" s="1"/>
  <c r="M126" i="1"/>
  <c r="O126" i="1" s="1"/>
  <c r="M125" i="1"/>
  <c r="O125" i="1" s="1"/>
  <c r="P125" i="1" s="1"/>
  <c r="M124" i="1"/>
  <c r="O124" i="1" s="1"/>
  <c r="P124" i="1" s="1"/>
  <c r="M123" i="1"/>
  <c r="M122" i="1"/>
  <c r="M121" i="1"/>
  <c r="O121" i="1" s="1"/>
  <c r="P121" i="1" s="1"/>
  <c r="M120" i="1"/>
  <c r="O120" i="1" s="1"/>
  <c r="P120" i="1" s="1"/>
  <c r="M119" i="1"/>
  <c r="O119" i="1" s="1"/>
  <c r="P119" i="1" s="1"/>
  <c r="M118" i="1"/>
  <c r="O118" i="1" s="1"/>
  <c r="P118" i="1" s="1"/>
  <c r="M117" i="1"/>
  <c r="O117" i="1" s="1"/>
  <c r="P117" i="1" s="1"/>
  <c r="M116" i="1"/>
  <c r="O116" i="1" s="1"/>
  <c r="P116" i="1" s="1"/>
  <c r="M115" i="1"/>
  <c r="M114" i="1"/>
  <c r="M113" i="1"/>
  <c r="O113" i="1" s="1"/>
  <c r="P113" i="1" s="1"/>
  <c r="M112" i="1"/>
  <c r="O112" i="1" s="1"/>
  <c r="P112" i="1" s="1"/>
  <c r="M111" i="1"/>
  <c r="O111" i="1" s="1"/>
  <c r="P111" i="1" s="1"/>
  <c r="M110" i="1"/>
  <c r="O110" i="1" s="1"/>
  <c r="P110" i="1" s="1"/>
  <c r="M109" i="1"/>
  <c r="O109" i="1" s="1"/>
  <c r="P109" i="1" s="1"/>
  <c r="M108" i="1"/>
  <c r="O108" i="1" s="1"/>
  <c r="P108" i="1" s="1"/>
  <c r="M107" i="1"/>
  <c r="M59" i="1"/>
  <c r="O59" i="1" s="1"/>
  <c r="P59" i="1" s="1"/>
  <c r="M58" i="1"/>
  <c r="O58" i="1" s="1"/>
  <c r="P58" i="1" s="1"/>
  <c r="M57" i="1"/>
  <c r="O57" i="1" s="1"/>
  <c r="P57" i="1" s="1"/>
  <c r="M56" i="1"/>
  <c r="O56" i="1" s="1"/>
  <c r="P56" i="1" s="1"/>
  <c r="M4" i="1"/>
  <c r="O4" i="1" s="1"/>
  <c r="P4" i="1" s="1"/>
  <c r="M3" i="1"/>
  <c r="O3" i="1" s="1"/>
  <c r="P3" i="1" s="1"/>
  <c r="M2" i="1"/>
  <c r="O2" i="1" s="1"/>
  <c r="P2" i="1" s="1"/>
  <c r="E354" i="1"/>
  <c r="E353" i="1"/>
  <c r="E352" i="1"/>
  <c r="E351" i="1"/>
  <c r="E350" i="1"/>
  <c r="E349" i="1"/>
  <c r="E348" i="1"/>
  <c r="T348" i="1" s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212" i="1"/>
  <c r="E211" i="1"/>
  <c r="E210" i="1"/>
  <c r="E209" i="1"/>
  <c r="S209" i="1" s="1"/>
  <c r="U209" i="1" s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T196" i="1" s="1"/>
  <c r="E195" i="1"/>
  <c r="E194" i="1"/>
  <c r="E180" i="1"/>
  <c r="E179" i="1"/>
  <c r="E178" i="1"/>
  <c r="S178" i="1" s="1"/>
  <c r="U178" i="1" s="1"/>
  <c r="E177" i="1"/>
  <c r="S177" i="1" s="1"/>
  <c r="U177" i="1" s="1"/>
  <c r="W177" i="1" s="1"/>
  <c r="E176" i="1"/>
  <c r="E175" i="1"/>
  <c r="S175" i="1" s="1"/>
  <c r="U175" i="1" s="1"/>
  <c r="E174" i="1"/>
  <c r="E173" i="1"/>
  <c r="E172" i="1"/>
  <c r="E171" i="1"/>
  <c r="E170" i="1"/>
  <c r="E169" i="1"/>
  <c r="E168" i="1"/>
  <c r="E167" i="1"/>
  <c r="E166" i="1"/>
  <c r="E165" i="1"/>
  <c r="S165" i="1" s="1"/>
  <c r="U165" i="1" s="1"/>
  <c r="E164" i="1"/>
  <c r="E163" i="1"/>
  <c r="E162" i="1"/>
  <c r="F55" i="1"/>
  <c r="G55" i="1"/>
  <c r="E55" i="1"/>
  <c r="J55" i="1"/>
  <c r="J54" i="1"/>
  <c r="J53" i="1"/>
  <c r="J52" i="1"/>
  <c r="J51" i="1"/>
  <c r="J50" i="1"/>
  <c r="J49" i="1"/>
  <c r="J48" i="1"/>
  <c r="J47" i="1"/>
  <c r="J46" i="1"/>
  <c r="J45" i="1"/>
  <c r="J44" i="1"/>
  <c r="E44" i="1"/>
  <c r="S44" i="1" s="1"/>
  <c r="U44" i="1" s="1"/>
  <c r="J335" i="1"/>
  <c r="J334" i="1"/>
  <c r="J333" i="1"/>
  <c r="J332" i="1"/>
  <c r="J189" i="1"/>
  <c r="J188" i="1"/>
  <c r="J187" i="1"/>
  <c r="J186" i="1"/>
  <c r="J185" i="1"/>
  <c r="J184" i="1"/>
  <c r="J183" i="1"/>
  <c r="J182" i="1"/>
  <c r="J181" i="1"/>
  <c r="E335" i="1"/>
  <c r="E334" i="1"/>
  <c r="E333" i="1"/>
  <c r="E332" i="1"/>
  <c r="E189" i="1"/>
  <c r="E188" i="1"/>
  <c r="E187" i="1"/>
  <c r="E186" i="1"/>
  <c r="E185" i="1"/>
  <c r="E184" i="1"/>
  <c r="E183" i="1"/>
  <c r="E182" i="1"/>
  <c r="E181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S144" i="1" s="1"/>
  <c r="U144" i="1" s="1"/>
  <c r="E143" i="1"/>
  <c r="E142" i="1"/>
  <c r="E141" i="1"/>
  <c r="E140" i="1"/>
  <c r="E139" i="1"/>
  <c r="E138" i="1"/>
  <c r="E137" i="1"/>
  <c r="C71" i="1"/>
  <c r="C72" i="1"/>
  <c r="C29" i="1"/>
  <c r="C30" i="1" s="1"/>
  <c r="R139" i="1" l="1"/>
  <c r="S139" i="1"/>
  <c r="U139" i="1" s="1"/>
  <c r="T245" i="1"/>
  <c r="R245" i="1"/>
  <c r="V245" i="1" s="1"/>
  <c r="S245" i="1"/>
  <c r="R285" i="1"/>
  <c r="S285" i="1"/>
  <c r="U285" i="1" s="1"/>
  <c r="T285" i="1"/>
  <c r="R317" i="1"/>
  <c r="V317" i="1" s="1"/>
  <c r="T317" i="1"/>
  <c r="S317" i="1"/>
  <c r="V349" i="1"/>
  <c r="R2" i="1"/>
  <c r="T2" i="1"/>
  <c r="S2" i="1"/>
  <c r="U2" i="1" s="1"/>
  <c r="R253" i="1"/>
  <c r="S253" i="1"/>
  <c r="T253" i="1"/>
  <c r="R148" i="1"/>
  <c r="T148" i="1"/>
  <c r="S148" i="1"/>
  <c r="U148" i="1" s="1"/>
  <c r="T278" i="1"/>
  <c r="S278" i="1"/>
  <c r="U278" i="1" s="1"/>
  <c r="W278" i="1" s="1"/>
  <c r="R278" i="1"/>
  <c r="V278" i="1" s="1"/>
  <c r="T234" i="1"/>
  <c r="S234" i="1"/>
  <c r="R234" i="1"/>
  <c r="T124" i="1"/>
  <c r="R124" i="1"/>
  <c r="S124" i="1"/>
  <c r="U124" i="1" s="1"/>
  <c r="R237" i="1"/>
  <c r="S237" i="1"/>
  <c r="U237" i="1" s="1"/>
  <c r="T237" i="1"/>
  <c r="R301" i="1"/>
  <c r="S301" i="1"/>
  <c r="U301" i="1" s="1"/>
  <c r="T301" i="1"/>
  <c r="S30" i="1"/>
  <c r="U30" i="1" s="1"/>
  <c r="R30" i="1"/>
  <c r="C31" i="1"/>
  <c r="T30" i="1"/>
  <c r="T246" i="1"/>
  <c r="S246" i="1"/>
  <c r="U246" i="1" s="1"/>
  <c r="W246" i="1" s="1"/>
  <c r="R246" i="1"/>
  <c r="V246" i="1" s="1"/>
  <c r="S110" i="1"/>
  <c r="U110" i="1" s="1"/>
  <c r="W110" i="1" s="1"/>
  <c r="R110" i="1"/>
  <c r="V110" i="1" s="1"/>
  <c r="T110" i="1"/>
  <c r="T118" i="1"/>
  <c r="S118" i="1"/>
  <c r="R118" i="1"/>
  <c r="T231" i="1"/>
  <c r="S231" i="1"/>
  <c r="R231" i="1"/>
  <c r="T247" i="1"/>
  <c r="S247" i="1"/>
  <c r="R247" i="1"/>
  <c r="V247" i="1" s="1"/>
  <c r="T255" i="1"/>
  <c r="S255" i="1"/>
  <c r="R255" i="1"/>
  <c r="V255" i="1" s="1"/>
  <c r="T263" i="1"/>
  <c r="S263" i="1"/>
  <c r="R263" i="1"/>
  <c r="V263" i="1" s="1"/>
  <c r="T279" i="1"/>
  <c r="S279" i="1"/>
  <c r="U279" i="1" s="1"/>
  <c r="W279" i="1" s="1"/>
  <c r="R279" i="1"/>
  <c r="V279" i="1" s="1"/>
  <c r="T295" i="1"/>
  <c r="S295" i="1"/>
  <c r="U295" i="1" s="1"/>
  <c r="R295" i="1"/>
  <c r="T311" i="1"/>
  <c r="S311" i="1"/>
  <c r="U311" i="1" s="1"/>
  <c r="W311" i="1" s="1"/>
  <c r="R311" i="1"/>
  <c r="V311" i="1" s="1"/>
  <c r="T327" i="1"/>
  <c r="S327" i="1"/>
  <c r="U327" i="1" s="1"/>
  <c r="R327" i="1"/>
  <c r="V343" i="1"/>
  <c r="S122" i="1"/>
  <c r="T122" i="1"/>
  <c r="R122" i="1"/>
  <c r="V122" i="1" s="1"/>
  <c r="T108" i="1"/>
  <c r="S108" i="1"/>
  <c r="U108" i="1" s="1"/>
  <c r="W108" i="1" s="1"/>
  <c r="R108" i="1"/>
  <c r="V108" i="1" s="1"/>
  <c r="R147" i="1"/>
  <c r="T147" i="1"/>
  <c r="S147" i="1"/>
  <c r="T155" i="1"/>
  <c r="R155" i="1"/>
  <c r="V155" i="1" s="1"/>
  <c r="S155" i="1"/>
  <c r="V203" i="1"/>
  <c r="R269" i="1"/>
  <c r="S269" i="1"/>
  <c r="T269" i="1"/>
  <c r="R140" i="1"/>
  <c r="S140" i="1"/>
  <c r="U140" i="1" s="1"/>
  <c r="T254" i="1"/>
  <c r="S254" i="1"/>
  <c r="U254" i="1" s="1"/>
  <c r="W254" i="1" s="1"/>
  <c r="R254" i="1"/>
  <c r="V254" i="1" s="1"/>
  <c r="R111" i="1"/>
  <c r="V111" i="1" s="1"/>
  <c r="T111" i="1"/>
  <c r="S111" i="1"/>
  <c r="T119" i="1"/>
  <c r="S119" i="1"/>
  <c r="R119" i="1"/>
  <c r="V119" i="1" s="1"/>
  <c r="R127" i="1"/>
  <c r="V127" i="1" s="1"/>
  <c r="T127" i="1"/>
  <c r="S127" i="1"/>
  <c r="U127" i="1" s="1"/>
  <c r="W127" i="1" s="1"/>
  <c r="T190" i="1"/>
  <c r="R190" i="1"/>
  <c r="V190" i="1" s="1"/>
  <c r="S190" i="1"/>
  <c r="R206" i="1"/>
  <c r="S206" i="1"/>
  <c r="U206" i="1" s="1"/>
  <c r="T224" i="1"/>
  <c r="S224" i="1"/>
  <c r="R224" i="1"/>
  <c r="V224" i="1" s="1"/>
  <c r="T232" i="1"/>
  <c r="S232" i="1"/>
  <c r="U232" i="1" s="1"/>
  <c r="W232" i="1" s="1"/>
  <c r="R232" i="1"/>
  <c r="V232" i="1" s="1"/>
  <c r="S240" i="1"/>
  <c r="R240" i="1"/>
  <c r="V240" i="1" s="1"/>
  <c r="T240" i="1"/>
  <c r="T256" i="1"/>
  <c r="S256" i="1"/>
  <c r="U256" i="1" s="1"/>
  <c r="W256" i="1" s="1"/>
  <c r="R256" i="1"/>
  <c r="V256" i="1" s="1"/>
  <c r="T264" i="1"/>
  <c r="S264" i="1"/>
  <c r="U264" i="1" s="1"/>
  <c r="R264" i="1"/>
  <c r="T272" i="1"/>
  <c r="S272" i="1"/>
  <c r="R272" i="1"/>
  <c r="T296" i="1"/>
  <c r="S296" i="1"/>
  <c r="R296" i="1"/>
  <c r="V296" i="1" s="1"/>
  <c r="S320" i="1"/>
  <c r="U320" i="1" s="1"/>
  <c r="R320" i="1"/>
  <c r="T320" i="1"/>
  <c r="T328" i="1"/>
  <c r="S328" i="1"/>
  <c r="R328" i="1"/>
  <c r="V328" i="1" s="1"/>
  <c r="T116" i="1"/>
  <c r="R116" i="1"/>
  <c r="V116" i="1" s="1"/>
  <c r="S116" i="1"/>
  <c r="V211" i="1"/>
  <c r="T109" i="1"/>
  <c r="S109" i="1"/>
  <c r="R109" i="1"/>
  <c r="V109" i="1" s="1"/>
  <c r="T230" i="1"/>
  <c r="S230" i="1"/>
  <c r="U230" i="1" s="1"/>
  <c r="R230" i="1"/>
  <c r="T157" i="1"/>
  <c r="V157" i="1" s="1"/>
  <c r="S157" i="1"/>
  <c r="U157" i="1" s="1"/>
  <c r="S163" i="1"/>
  <c r="U163" i="1" s="1"/>
  <c r="T163" i="1"/>
  <c r="V163" i="1" s="1"/>
  <c r="S200" i="1"/>
  <c r="U200" i="1" s="1"/>
  <c r="T200" i="1"/>
  <c r="V200" i="1" s="1"/>
  <c r="T347" i="1"/>
  <c r="S347" i="1"/>
  <c r="U347" i="1" s="1"/>
  <c r="V347" i="1"/>
  <c r="T143" i="1"/>
  <c r="S210" i="1"/>
  <c r="U210" i="1" s="1"/>
  <c r="T210" i="1"/>
  <c r="T319" i="1"/>
  <c r="S319" i="1"/>
  <c r="R319" i="1"/>
  <c r="S227" i="1"/>
  <c r="U227" i="1" s="1"/>
  <c r="T227" i="1"/>
  <c r="R227" i="1"/>
  <c r="T244" i="1"/>
  <c r="R244" i="1"/>
  <c r="S244" i="1"/>
  <c r="U244" i="1" s="1"/>
  <c r="T286" i="1"/>
  <c r="S286" i="1"/>
  <c r="R286" i="1"/>
  <c r="V286" i="1" s="1"/>
  <c r="T307" i="1"/>
  <c r="S307" i="1"/>
  <c r="R307" i="1"/>
  <c r="V307" i="1" s="1"/>
  <c r="T132" i="1"/>
  <c r="S132" i="1"/>
  <c r="R132" i="1"/>
  <c r="V132" i="1" s="1"/>
  <c r="T262" i="1"/>
  <c r="S262" i="1"/>
  <c r="U262" i="1" s="1"/>
  <c r="R262" i="1"/>
  <c r="T310" i="1"/>
  <c r="S310" i="1"/>
  <c r="R310" i="1"/>
  <c r="T208" i="1"/>
  <c r="S208" i="1"/>
  <c r="U208" i="1" s="1"/>
  <c r="R229" i="1"/>
  <c r="V229" i="1" s="1"/>
  <c r="T229" i="1"/>
  <c r="S229" i="1"/>
  <c r="U229" i="1" s="1"/>
  <c r="W229" i="1" s="1"/>
  <c r="R293" i="1"/>
  <c r="T293" i="1"/>
  <c r="S293" i="1"/>
  <c r="U293" i="1" s="1"/>
  <c r="V143" i="1"/>
  <c r="T202" i="1"/>
  <c r="V202" i="1" s="1"/>
  <c r="S202" i="1"/>
  <c r="U202" i="1" s="1"/>
  <c r="T271" i="1"/>
  <c r="S271" i="1"/>
  <c r="U271" i="1" s="1"/>
  <c r="W271" i="1" s="1"/>
  <c r="R271" i="1"/>
  <c r="V271" i="1" s="1"/>
  <c r="T152" i="1"/>
  <c r="V152" i="1" s="1"/>
  <c r="S152" i="1"/>
  <c r="U152" i="1" s="1"/>
  <c r="S160" i="1"/>
  <c r="U160" i="1" s="1"/>
  <c r="W160" i="1" s="1"/>
  <c r="T160" i="1"/>
  <c r="T187" i="1"/>
  <c r="S187" i="1"/>
  <c r="U187" i="1" s="1"/>
  <c r="T166" i="1"/>
  <c r="S166" i="1"/>
  <c r="U166" i="1" s="1"/>
  <c r="W166" i="1" s="1"/>
  <c r="T174" i="1"/>
  <c r="S174" i="1"/>
  <c r="U174" i="1" s="1"/>
  <c r="S195" i="1"/>
  <c r="U195" i="1" s="1"/>
  <c r="T203" i="1"/>
  <c r="S203" i="1"/>
  <c r="U203" i="1" s="1"/>
  <c r="S211" i="1"/>
  <c r="U211" i="1" s="1"/>
  <c r="T211" i="1"/>
  <c r="S342" i="1"/>
  <c r="U342" i="1" s="1"/>
  <c r="T342" i="1"/>
  <c r="S350" i="1"/>
  <c r="U350" i="1" s="1"/>
  <c r="T350" i="1"/>
  <c r="V350" i="1" s="1"/>
  <c r="S56" i="1"/>
  <c r="R56" i="1"/>
  <c r="T56" i="1"/>
  <c r="V166" i="1"/>
  <c r="R198" i="1"/>
  <c r="S198" i="1"/>
  <c r="T304" i="1"/>
  <c r="S304" i="1"/>
  <c r="U304" i="1" s="1"/>
  <c r="R304" i="1"/>
  <c r="T275" i="1"/>
  <c r="S275" i="1"/>
  <c r="U275" i="1" s="1"/>
  <c r="R275" i="1"/>
  <c r="T291" i="1"/>
  <c r="S291" i="1"/>
  <c r="U291" i="1" s="1"/>
  <c r="W291" i="1" s="1"/>
  <c r="R291" i="1"/>
  <c r="V291" i="1" s="1"/>
  <c r="T308" i="1"/>
  <c r="R308" i="1"/>
  <c r="S308" i="1"/>
  <c r="R133" i="1"/>
  <c r="V133" i="1" s="1"/>
  <c r="T133" i="1"/>
  <c r="T266" i="1"/>
  <c r="S266" i="1"/>
  <c r="U266" i="1" s="1"/>
  <c r="W266" i="1" s="1"/>
  <c r="R266" i="1"/>
  <c r="V266" i="1" s="1"/>
  <c r="R216" i="1"/>
  <c r="V216" i="1" s="1"/>
  <c r="S302" i="1"/>
  <c r="U302" i="1" s="1"/>
  <c r="W302" i="1" s="1"/>
  <c r="S16" i="1"/>
  <c r="U16" i="1" s="1"/>
  <c r="R16" i="1"/>
  <c r="T16" i="1"/>
  <c r="T149" i="1"/>
  <c r="V149" i="1" s="1"/>
  <c r="S149" i="1"/>
  <c r="U149" i="1" s="1"/>
  <c r="T339" i="1"/>
  <c r="S339" i="1"/>
  <c r="U339" i="1" s="1"/>
  <c r="R310" i="9"/>
  <c r="T151" i="1"/>
  <c r="V151" i="1" s="1"/>
  <c r="S151" i="1"/>
  <c r="U151" i="1" s="1"/>
  <c r="T173" i="1"/>
  <c r="V173" i="1" s="1"/>
  <c r="S173" i="1"/>
  <c r="U173" i="1" s="1"/>
  <c r="T349" i="1"/>
  <c r="S349" i="1"/>
  <c r="U349" i="1" s="1"/>
  <c r="V197" i="1"/>
  <c r="R71" i="1"/>
  <c r="S71" i="1"/>
  <c r="U71" i="1" s="1"/>
  <c r="T71" i="1"/>
  <c r="T161" i="1"/>
  <c r="V161" i="1" s="1"/>
  <c r="S161" i="1"/>
  <c r="U161" i="1" s="1"/>
  <c r="S55" i="1"/>
  <c r="U55" i="1" s="1"/>
  <c r="T55" i="1"/>
  <c r="S204" i="1"/>
  <c r="U204" i="1" s="1"/>
  <c r="T204" i="1"/>
  <c r="V204" i="1" s="1"/>
  <c r="R112" i="1"/>
  <c r="T112" i="1"/>
  <c r="S112" i="1"/>
  <c r="U112" i="1" s="1"/>
  <c r="V167" i="1"/>
  <c r="T225" i="1"/>
  <c r="S225" i="1"/>
  <c r="R225" i="1"/>
  <c r="V225" i="1" s="1"/>
  <c r="T233" i="1"/>
  <c r="S233" i="1"/>
  <c r="R233" i="1"/>
  <c r="V233" i="1" s="1"/>
  <c r="S241" i="1"/>
  <c r="R241" i="1"/>
  <c r="T241" i="1"/>
  <c r="T249" i="1"/>
  <c r="S249" i="1"/>
  <c r="U249" i="1" s="1"/>
  <c r="R249" i="1"/>
  <c r="T257" i="1"/>
  <c r="S257" i="1"/>
  <c r="U257" i="1" s="1"/>
  <c r="W257" i="1" s="1"/>
  <c r="R257" i="1"/>
  <c r="V257" i="1" s="1"/>
  <c r="S265" i="1"/>
  <c r="U265" i="1" s="1"/>
  <c r="W265" i="1" s="1"/>
  <c r="R265" i="1"/>
  <c r="V265" i="1" s="1"/>
  <c r="T273" i="1"/>
  <c r="S273" i="1"/>
  <c r="U273" i="1" s="1"/>
  <c r="R273" i="1"/>
  <c r="T281" i="1"/>
  <c r="S281" i="1"/>
  <c r="U281" i="1" s="1"/>
  <c r="W281" i="1" s="1"/>
  <c r="R281" i="1"/>
  <c r="V281" i="1" s="1"/>
  <c r="S289" i="1"/>
  <c r="U289" i="1" s="1"/>
  <c r="W289" i="1" s="1"/>
  <c r="R289" i="1"/>
  <c r="V289" i="1" s="1"/>
  <c r="T289" i="1"/>
  <c r="T297" i="1"/>
  <c r="S297" i="1"/>
  <c r="R297" i="1"/>
  <c r="S305" i="1"/>
  <c r="U305" i="1" s="1"/>
  <c r="R305" i="1"/>
  <c r="T313" i="1"/>
  <c r="S313" i="1"/>
  <c r="U313" i="1" s="1"/>
  <c r="R313" i="1"/>
  <c r="S321" i="1"/>
  <c r="U321" i="1" s="1"/>
  <c r="R321" i="1"/>
  <c r="T321" i="1"/>
  <c r="T329" i="1"/>
  <c r="S329" i="1"/>
  <c r="R329" i="1"/>
  <c r="V329" i="1" s="1"/>
  <c r="R337" i="1"/>
  <c r="S337" i="1"/>
  <c r="T337" i="1"/>
  <c r="R345" i="1"/>
  <c r="T345" i="1"/>
  <c r="S345" i="1"/>
  <c r="U345" i="1" s="1"/>
  <c r="R353" i="1"/>
  <c r="S353" i="1"/>
  <c r="U353" i="1" s="1"/>
  <c r="S114" i="1"/>
  <c r="T114" i="1"/>
  <c r="R114" i="1"/>
  <c r="V114" i="1" s="1"/>
  <c r="T193" i="1"/>
  <c r="S193" i="1"/>
  <c r="S259" i="1"/>
  <c r="T259" i="1"/>
  <c r="R259" i="1"/>
  <c r="T276" i="1"/>
  <c r="R276" i="1"/>
  <c r="V276" i="1" s="1"/>
  <c r="S276" i="1"/>
  <c r="R302" i="1"/>
  <c r="V302" i="1" s="1"/>
  <c r="S312" i="1"/>
  <c r="T195" i="1"/>
  <c r="V195" i="1" s="1"/>
  <c r="T305" i="1"/>
  <c r="S184" i="1"/>
  <c r="U184" i="1" s="1"/>
  <c r="T184" i="1"/>
  <c r="V184" i="1" s="1"/>
  <c r="T171" i="1"/>
  <c r="V171" i="1" s="1"/>
  <c r="S171" i="1"/>
  <c r="U171" i="1" s="1"/>
  <c r="R309" i="1"/>
  <c r="V309" i="1" s="1"/>
  <c r="S309" i="1"/>
  <c r="U309" i="1" s="1"/>
  <c r="W309" i="1" s="1"/>
  <c r="T309" i="1"/>
  <c r="T267" i="1"/>
  <c r="S267" i="1"/>
  <c r="R267" i="1"/>
  <c r="V174" i="1"/>
  <c r="S72" i="1"/>
  <c r="U72" i="1" s="1"/>
  <c r="T72" i="1"/>
  <c r="R72" i="1"/>
  <c r="S4" i="1"/>
  <c r="U4" i="1" s="1"/>
  <c r="R4" i="1"/>
  <c r="T4" i="1"/>
  <c r="T287" i="1"/>
  <c r="S287" i="1"/>
  <c r="R287" i="1"/>
  <c r="V287" i="1" s="1"/>
  <c r="S137" i="1"/>
  <c r="U137" i="1" s="1"/>
  <c r="T137" i="1"/>
  <c r="V137" i="1" s="1"/>
  <c r="T188" i="1"/>
  <c r="V188" i="1" s="1"/>
  <c r="S188" i="1"/>
  <c r="U188" i="1" s="1"/>
  <c r="T167" i="1"/>
  <c r="S167" i="1"/>
  <c r="U167" i="1" s="1"/>
  <c r="W167" i="1" s="1"/>
  <c r="T343" i="1"/>
  <c r="S343" i="1"/>
  <c r="U343" i="1" s="1"/>
  <c r="R120" i="1"/>
  <c r="V120" i="1" s="1"/>
  <c r="S120" i="1"/>
  <c r="T191" i="1"/>
  <c r="R191" i="1"/>
  <c r="S191" i="1"/>
  <c r="U191" i="1" s="1"/>
  <c r="S138" i="1"/>
  <c r="U138" i="1" s="1"/>
  <c r="T138" i="1"/>
  <c r="V138" i="1" s="1"/>
  <c r="S181" i="1"/>
  <c r="U181" i="1" s="1"/>
  <c r="T181" i="1"/>
  <c r="T168" i="1"/>
  <c r="V168" i="1" s="1"/>
  <c r="S168" i="1"/>
  <c r="U168" i="1" s="1"/>
  <c r="T336" i="1"/>
  <c r="V336" i="1" s="1"/>
  <c r="S336" i="1"/>
  <c r="U336" i="1" s="1"/>
  <c r="R113" i="1"/>
  <c r="S113" i="1"/>
  <c r="T113" i="1"/>
  <c r="S129" i="1"/>
  <c r="U129" i="1" s="1"/>
  <c r="R129" i="1"/>
  <c r="T129" i="1"/>
  <c r="V160" i="1"/>
  <c r="T192" i="1"/>
  <c r="R192" i="1"/>
  <c r="V192" i="1" s="1"/>
  <c r="S192" i="1"/>
  <c r="V208" i="1"/>
  <c r="S226" i="1"/>
  <c r="T226" i="1"/>
  <c r="S242" i="1"/>
  <c r="U242" i="1" s="1"/>
  <c r="R242" i="1"/>
  <c r="T242" i="1"/>
  <c r="S258" i="1"/>
  <c r="U258" i="1" s="1"/>
  <c r="T258" i="1"/>
  <c r="V258" i="1" s="1"/>
  <c r="S274" i="1"/>
  <c r="U274" i="1" s="1"/>
  <c r="T274" i="1"/>
  <c r="R274" i="1"/>
  <c r="S290" i="1"/>
  <c r="U290" i="1" s="1"/>
  <c r="T290" i="1"/>
  <c r="V290" i="1" s="1"/>
  <c r="S306" i="1"/>
  <c r="R306" i="1"/>
  <c r="V306" i="1" s="1"/>
  <c r="T306" i="1"/>
  <c r="S322" i="1"/>
  <c r="T322" i="1"/>
  <c r="R169" i="1"/>
  <c r="T169" i="1"/>
  <c r="T331" i="1"/>
  <c r="S331" i="1"/>
  <c r="R331" i="1"/>
  <c r="V331" i="1" s="1"/>
  <c r="R226" i="1"/>
  <c r="V226" i="1" s="1"/>
  <c r="R312" i="1"/>
  <c r="V312" i="1" s="1"/>
  <c r="S196" i="1"/>
  <c r="U196" i="1" s="1"/>
  <c r="S238" i="1"/>
  <c r="U238" i="1" s="1"/>
  <c r="W238" i="1" s="1"/>
  <c r="T120" i="1"/>
  <c r="T209" i="1"/>
  <c r="V209" i="1" s="1"/>
  <c r="T141" i="1"/>
  <c r="V141" i="1" s="1"/>
  <c r="S141" i="1"/>
  <c r="U141" i="1" s="1"/>
  <c r="S186" i="1"/>
  <c r="U186" i="1" s="1"/>
  <c r="T186" i="1"/>
  <c r="V186" i="1" s="1"/>
  <c r="S194" i="1"/>
  <c r="U194" i="1" s="1"/>
  <c r="T194" i="1"/>
  <c r="V194" i="1" s="1"/>
  <c r="T303" i="1"/>
  <c r="S303" i="1"/>
  <c r="R303" i="1"/>
  <c r="V303" i="1" s="1"/>
  <c r="S153" i="1"/>
  <c r="U153" i="1" s="1"/>
  <c r="T153" i="1"/>
  <c r="V153" i="1" s="1"/>
  <c r="T175" i="1"/>
  <c r="V175" i="1" s="1"/>
  <c r="W175" i="1" s="1"/>
  <c r="T212" i="1"/>
  <c r="V212" i="1" s="1"/>
  <c r="S212" i="1"/>
  <c r="U212" i="1" s="1"/>
  <c r="T351" i="1"/>
  <c r="V351" i="1" s="1"/>
  <c r="S351" i="1"/>
  <c r="U351" i="1" s="1"/>
  <c r="R128" i="1"/>
  <c r="T128" i="1"/>
  <c r="S128" i="1"/>
  <c r="R199" i="1"/>
  <c r="V199" i="1" s="1"/>
  <c r="S199" i="1"/>
  <c r="S146" i="1"/>
  <c r="U146" i="1" s="1"/>
  <c r="T146" i="1"/>
  <c r="T197" i="1"/>
  <c r="S197" i="1"/>
  <c r="U197" i="1" s="1"/>
  <c r="R58" i="1"/>
  <c r="S58" i="1"/>
  <c r="T58" i="1"/>
  <c r="R121" i="1"/>
  <c r="S121" i="1"/>
  <c r="U121" i="1" s="1"/>
  <c r="T121" i="1"/>
  <c r="V170" i="1"/>
  <c r="T235" i="1"/>
  <c r="S235" i="1"/>
  <c r="R235" i="1"/>
  <c r="V235" i="1" s="1"/>
  <c r="T123" i="1"/>
  <c r="R123" i="1"/>
  <c r="R136" i="1"/>
  <c r="V136" i="1" s="1"/>
  <c r="T136" i="1"/>
  <c r="S136" i="1"/>
  <c r="V210" i="1"/>
  <c r="S282" i="1"/>
  <c r="T282" i="1"/>
  <c r="R282" i="1"/>
  <c r="V282" i="1" s="1"/>
  <c r="S330" i="1"/>
  <c r="R330" i="1"/>
  <c r="V330" i="1" s="1"/>
  <c r="T330" i="1"/>
  <c r="R238" i="1"/>
  <c r="V238" i="1" s="1"/>
  <c r="R322" i="1"/>
  <c r="V322" i="1" s="1"/>
  <c r="S123" i="1"/>
  <c r="S248" i="1"/>
  <c r="S338" i="1"/>
  <c r="U338" i="1" s="1"/>
  <c r="T353" i="1"/>
  <c r="T179" i="1"/>
  <c r="V179" i="1" s="1"/>
  <c r="S179" i="1"/>
  <c r="U179" i="1" s="1"/>
  <c r="R277" i="1"/>
  <c r="T277" i="1"/>
  <c r="S277" i="1"/>
  <c r="V339" i="1"/>
  <c r="S288" i="1"/>
  <c r="R288" i="1"/>
  <c r="T288" i="1"/>
  <c r="S159" i="1"/>
  <c r="U159" i="1" s="1"/>
  <c r="T159" i="1"/>
  <c r="V159" i="1" s="1"/>
  <c r="T165" i="1"/>
  <c r="V165" i="1" s="1"/>
  <c r="W165" i="1" s="1"/>
  <c r="T341" i="1"/>
  <c r="V341" i="1" s="1"/>
  <c r="S341" i="1"/>
  <c r="U341" i="1" s="1"/>
  <c r="T239" i="1"/>
  <c r="S239" i="1"/>
  <c r="U239" i="1" s="1"/>
  <c r="W239" i="1" s="1"/>
  <c r="R239" i="1"/>
  <c r="V239" i="1" s="1"/>
  <c r="S145" i="1"/>
  <c r="U145" i="1" s="1"/>
  <c r="T145" i="1"/>
  <c r="S57" i="1"/>
  <c r="U57" i="1" s="1"/>
  <c r="R57" i="1"/>
  <c r="T57" i="1"/>
  <c r="R207" i="1"/>
  <c r="S207" i="1"/>
  <c r="U207" i="1" s="1"/>
  <c r="S154" i="1"/>
  <c r="U154" i="1" s="1"/>
  <c r="T154" i="1"/>
  <c r="V154" i="1" s="1"/>
  <c r="S189" i="1"/>
  <c r="U189" i="1" s="1"/>
  <c r="T189" i="1"/>
  <c r="T176" i="1"/>
  <c r="V176" i="1" s="1"/>
  <c r="S176" i="1"/>
  <c r="U176" i="1" s="1"/>
  <c r="S205" i="1"/>
  <c r="U205" i="1" s="1"/>
  <c r="T205" i="1"/>
  <c r="V205" i="1" s="1"/>
  <c r="T344" i="1"/>
  <c r="V344" i="1" s="1"/>
  <c r="S344" i="1"/>
  <c r="U344" i="1" s="1"/>
  <c r="T352" i="1"/>
  <c r="V352" i="1" s="1"/>
  <c r="S352" i="1"/>
  <c r="U352" i="1" s="1"/>
  <c r="V144" i="1"/>
  <c r="W144" i="1" s="1"/>
  <c r="R143" i="9"/>
  <c r="S29" i="1"/>
  <c r="U29" i="1" s="1"/>
  <c r="R29" i="1"/>
  <c r="T29" i="1"/>
  <c r="R236" i="1"/>
  <c r="V236" i="1" s="1"/>
  <c r="T236" i="1"/>
  <c r="S236" i="1"/>
  <c r="U236" i="1" s="1"/>
  <c r="W236" i="1" s="1"/>
  <c r="T299" i="1"/>
  <c r="S299" i="1"/>
  <c r="R299" i="1"/>
  <c r="V299" i="1" s="1"/>
  <c r="S250" i="1"/>
  <c r="T250" i="1"/>
  <c r="R250" i="1"/>
  <c r="V250" i="1" s="1"/>
  <c r="S346" i="1"/>
  <c r="U346" i="1" s="1"/>
  <c r="R346" i="1"/>
  <c r="R248" i="1"/>
  <c r="V248" i="1" s="1"/>
  <c r="W260" i="1"/>
  <c r="S348" i="1"/>
  <c r="U348" i="1" s="1"/>
  <c r="W348" i="1" s="1"/>
  <c r="T11" i="1"/>
  <c r="S11" i="1"/>
  <c r="U11" i="1" s="1"/>
  <c r="W11" i="1" s="1"/>
  <c r="R11" i="1"/>
  <c r="V11" i="1" s="1"/>
  <c r="T334" i="1"/>
  <c r="V334" i="1" s="1"/>
  <c r="S334" i="1"/>
  <c r="U334" i="1" s="1"/>
  <c r="R261" i="1"/>
  <c r="T261" i="1"/>
  <c r="S261" i="1"/>
  <c r="R325" i="1"/>
  <c r="V325" i="1" s="1"/>
  <c r="S325" i="1"/>
  <c r="U325" i="1" s="1"/>
  <c r="W325" i="1" s="1"/>
  <c r="T223" i="1"/>
  <c r="S223" i="1"/>
  <c r="U223" i="1" s="1"/>
  <c r="W223" i="1" s="1"/>
  <c r="R223" i="1"/>
  <c r="V223" i="1" s="1"/>
  <c r="T318" i="1"/>
  <c r="S318" i="1"/>
  <c r="U318" i="1" s="1"/>
  <c r="R318" i="1"/>
  <c r="C73" i="1"/>
  <c r="T142" i="1"/>
  <c r="V142" i="1" s="1"/>
  <c r="S142" i="1"/>
  <c r="U142" i="1" s="1"/>
  <c r="T150" i="1"/>
  <c r="V150" i="1" s="1"/>
  <c r="S150" i="1"/>
  <c r="U150" i="1" s="1"/>
  <c r="T158" i="1"/>
  <c r="V158" i="1" s="1"/>
  <c r="S158" i="1"/>
  <c r="U158" i="1" s="1"/>
  <c r="S185" i="1"/>
  <c r="U185" i="1" s="1"/>
  <c r="T185" i="1"/>
  <c r="S335" i="1"/>
  <c r="U335" i="1" s="1"/>
  <c r="T335" i="1"/>
  <c r="V335" i="1" s="1"/>
  <c r="S164" i="1"/>
  <c r="U164" i="1" s="1"/>
  <c r="T164" i="1"/>
  <c r="V164" i="1" s="1"/>
  <c r="T172" i="1"/>
  <c r="V172" i="1" s="1"/>
  <c r="S172" i="1"/>
  <c r="U172" i="1" s="1"/>
  <c r="T180" i="1"/>
  <c r="V180" i="1" s="1"/>
  <c r="S180" i="1"/>
  <c r="U180" i="1" s="1"/>
  <c r="S201" i="1"/>
  <c r="U201" i="1" s="1"/>
  <c r="T201" i="1"/>
  <c r="V201" i="1" s="1"/>
  <c r="W209" i="1"/>
  <c r="T340" i="1"/>
  <c r="V340" i="1" s="1"/>
  <c r="S340" i="1"/>
  <c r="U340" i="1" s="1"/>
  <c r="S3" i="1"/>
  <c r="R3" i="1"/>
  <c r="V3" i="1" s="1"/>
  <c r="T3" i="1"/>
  <c r="R117" i="1"/>
  <c r="V117" i="1" s="1"/>
  <c r="T117" i="1"/>
  <c r="S117" i="1"/>
  <c r="R125" i="1"/>
  <c r="V125" i="1" s="1"/>
  <c r="T125" i="1"/>
  <c r="S125" i="1"/>
  <c r="R156" i="1"/>
  <c r="S156" i="1"/>
  <c r="V196" i="1"/>
  <c r="T294" i="1"/>
  <c r="S294" i="1"/>
  <c r="R294" i="1"/>
  <c r="V294" i="1" s="1"/>
  <c r="T326" i="1"/>
  <c r="S326" i="1"/>
  <c r="R326" i="1"/>
  <c r="V326" i="1" s="1"/>
  <c r="V342" i="1"/>
  <c r="S243" i="1"/>
  <c r="U243" i="1" s="1"/>
  <c r="W243" i="1" s="1"/>
  <c r="R243" i="1"/>
  <c r="V243" i="1" s="1"/>
  <c r="T243" i="1"/>
  <c r="R268" i="1"/>
  <c r="V268" i="1" s="1"/>
  <c r="S268" i="1"/>
  <c r="T268" i="1"/>
  <c r="T323" i="1"/>
  <c r="S323" i="1"/>
  <c r="R323" i="1"/>
  <c r="V323" i="1" s="1"/>
  <c r="R309" i="9"/>
  <c r="S298" i="1"/>
  <c r="U298" i="1" s="1"/>
  <c r="W298" i="1" s="1"/>
  <c r="R298" i="1"/>
  <c r="V298" i="1" s="1"/>
  <c r="T298" i="1"/>
  <c r="R193" i="1"/>
  <c r="V193" i="1" s="1"/>
  <c r="R270" i="1"/>
  <c r="V270" i="1" s="1"/>
  <c r="S143" i="1"/>
  <c r="U143" i="1" s="1"/>
  <c r="W143" i="1" s="1"/>
  <c r="S280" i="1"/>
  <c r="U280" i="1" s="1"/>
  <c r="W280" i="1" s="1"/>
  <c r="T156" i="1"/>
  <c r="S8" i="1"/>
  <c r="U8" i="1" s="1"/>
  <c r="W8" i="1" s="1"/>
  <c r="R8" i="1"/>
  <c r="V8" i="1" s="1"/>
  <c r="T8" i="1"/>
  <c r="R217" i="1"/>
  <c r="V217" i="1" s="1"/>
  <c r="W96" i="1"/>
  <c r="S134" i="1"/>
  <c r="U134" i="1" s="1"/>
  <c r="S217" i="1"/>
  <c r="U217" i="1" s="1"/>
  <c r="W217" i="1" s="1"/>
  <c r="T252" i="1"/>
  <c r="U5" i="1"/>
  <c r="U218" i="1"/>
  <c r="R218" i="1"/>
  <c r="R314" i="1"/>
  <c r="V314" i="1" s="1"/>
  <c r="S115" i="1"/>
  <c r="S135" i="1"/>
  <c r="U135" i="1" s="1"/>
  <c r="U220" i="1"/>
  <c r="W220" i="1" s="1"/>
  <c r="S252" i="1"/>
  <c r="U252" i="1" s="1"/>
  <c r="T134" i="1"/>
  <c r="V134" i="1" s="1"/>
  <c r="S9" i="1"/>
  <c r="U9" i="1" s="1"/>
  <c r="R9" i="1"/>
  <c r="T9" i="1"/>
  <c r="S19" i="1"/>
  <c r="R19" i="1"/>
  <c r="V19" i="1" s="1"/>
  <c r="V51" i="1"/>
  <c r="U51" i="1"/>
  <c r="O66" i="9"/>
  <c r="E66" i="9"/>
  <c r="N66" i="9"/>
  <c r="P66" i="9" s="1"/>
  <c r="O103" i="9"/>
  <c r="N103" i="9"/>
  <c r="P103" i="9" s="1"/>
  <c r="N106" i="9"/>
  <c r="P106" i="9" s="1"/>
  <c r="O106" i="9"/>
  <c r="R112" i="9"/>
  <c r="P112" i="9"/>
  <c r="O112" i="9"/>
  <c r="T300" i="1"/>
  <c r="R300" i="1"/>
  <c r="V300" i="1" s="1"/>
  <c r="R219" i="1"/>
  <c r="R251" i="1"/>
  <c r="V251" i="1" s="1"/>
  <c r="U221" i="1"/>
  <c r="T135" i="1"/>
  <c r="V135" i="1" s="1"/>
  <c r="T228" i="1"/>
  <c r="T314" i="1"/>
  <c r="S6" i="1"/>
  <c r="U6" i="1" s="1"/>
  <c r="R6" i="1"/>
  <c r="T6" i="1"/>
  <c r="T12" i="1"/>
  <c r="R12" i="1"/>
  <c r="V37" i="1"/>
  <c r="U37" i="1"/>
  <c r="W46" i="1"/>
  <c r="U314" i="1"/>
  <c r="W314" i="1" s="1"/>
  <c r="S107" i="1"/>
  <c r="U222" i="1"/>
  <c r="W222" i="1" s="1"/>
  <c r="S354" i="1"/>
  <c r="U354" i="1" s="1"/>
  <c r="W354" i="1" s="1"/>
  <c r="T178" i="1"/>
  <c r="V178" i="1" s="1"/>
  <c r="W178" i="1" s="1"/>
  <c r="S49" i="1"/>
  <c r="U49" i="1" s="1"/>
  <c r="W49" i="1" s="1"/>
  <c r="T49" i="1"/>
  <c r="V49" i="1" s="1"/>
  <c r="T292" i="1"/>
  <c r="R292" i="1"/>
  <c r="U292" i="1" s="1"/>
  <c r="T324" i="1"/>
  <c r="R324" i="1"/>
  <c r="V324" i="1" s="1"/>
  <c r="V221" i="1"/>
  <c r="U251" i="1"/>
  <c r="W251" i="1" s="1"/>
  <c r="T283" i="1"/>
  <c r="V283" i="1" s="1"/>
  <c r="S283" i="1"/>
  <c r="U283" i="1" s="1"/>
  <c r="T315" i="1"/>
  <c r="V315" i="1" s="1"/>
  <c r="S315" i="1"/>
  <c r="U315" i="1" s="1"/>
  <c r="R115" i="1"/>
  <c r="U84" i="1"/>
  <c r="W84" i="1" s="1"/>
  <c r="U100" i="1"/>
  <c r="W100" i="1" s="1"/>
  <c r="T218" i="1"/>
  <c r="T260" i="1"/>
  <c r="R10" i="1"/>
  <c r="V10" i="1" s="1"/>
  <c r="T10" i="1"/>
  <c r="T80" i="1"/>
  <c r="V354" i="1"/>
  <c r="V260" i="1"/>
  <c r="T139" i="1"/>
  <c r="S169" i="1"/>
  <c r="U169" i="1" s="1"/>
  <c r="V145" i="1"/>
  <c r="V90" i="1"/>
  <c r="V98" i="1"/>
  <c r="R214" i="1"/>
  <c r="V214" i="1" s="1"/>
  <c r="U85" i="1"/>
  <c r="W85" i="1" s="1"/>
  <c r="U93" i="1"/>
  <c r="W93" i="1" s="1"/>
  <c r="U101" i="1"/>
  <c r="W101" i="1" s="1"/>
  <c r="S131" i="1"/>
  <c r="U131" i="1" s="1"/>
  <c r="W131" i="1" s="1"/>
  <c r="S214" i="1"/>
  <c r="S300" i="1"/>
  <c r="T102" i="1"/>
  <c r="V102" i="1" s="1"/>
  <c r="W102" i="1" s="1"/>
  <c r="T219" i="1"/>
  <c r="S7" i="1"/>
  <c r="R7" i="1"/>
  <c r="V7" i="1" s="1"/>
  <c r="U13" i="1"/>
  <c r="W13" i="1" s="1"/>
  <c r="U42" i="1"/>
  <c r="W42" i="1" s="1"/>
  <c r="T47" i="1"/>
  <c r="V47" i="1" s="1"/>
  <c r="S47" i="1"/>
  <c r="U47" i="1" s="1"/>
  <c r="W54" i="1"/>
  <c r="V228" i="1"/>
  <c r="W228" i="1" s="1"/>
  <c r="T140" i="1"/>
  <c r="T162" i="1"/>
  <c r="V162" i="1" s="1"/>
  <c r="S170" i="1"/>
  <c r="U170" i="1" s="1"/>
  <c r="W170" i="1" s="1"/>
  <c r="V146" i="1"/>
  <c r="V252" i="1"/>
  <c r="T284" i="1"/>
  <c r="R284" i="1"/>
  <c r="V284" i="1" s="1"/>
  <c r="T316" i="1"/>
  <c r="R316" i="1"/>
  <c r="R107" i="1"/>
  <c r="V107" i="1" s="1"/>
  <c r="R215" i="1"/>
  <c r="V215" i="1" s="1"/>
  <c r="S215" i="1"/>
  <c r="U215" i="1" s="1"/>
  <c r="W215" i="1" s="1"/>
  <c r="T83" i="1"/>
  <c r="V83" i="1" s="1"/>
  <c r="S83" i="1"/>
  <c r="U83" i="1" s="1"/>
  <c r="T5" i="1"/>
  <c r="V5" i="1" s="1"/>
  <c r="S18" i="1"/>
  <c r="U18" i="1" s="1"/>
  <c r="R18" i="1"/>
  <c r="T18" i="1"/>
  <c r="U38" i="1"/>
  <c r="W38" i="1" s="1"/>
  <c r="W50" i="1"/>
  <c r="S182" i="1"/>
  <c r="U182" i="1" s="1"/>
  <c r="W182" i="1" s="1"/>
  <c r="T182" i="1"/>
  <c r="V182" i="1" s="1"/>
  <c r="T332" i="1"/>
  <c r="S332" i="1"/>
  <c r="U332" i="1" s="1"/>
  <c r="T198" i="1"/>
  <c r="T206" i="1"/>
  <c r="R59" i="1"/>
  <c r="V59" i="1" s="1"/>
  <c r="T59" i="1"/>
  <c r="V88" i="1"/>
  <c r="W88" i="1" s="1"/>
  <c r="V96" i="1"/>
  <c r="V104" i="1"/>
  <c r="W104" i="1" s="1"/>
  <c r="U89" i="1"/>
  <c r="W89" i="1" s="1"/>
  <c r="U97" i="1"/>
  <c r="U105" i="1"/>
  <c r="W105" i="1" s="1"/>
  <c r="S20" i="1"/>
  <c r="U20" i="1" s="1"/>
  <c r="R20" i="1"/>
  <c r="T20" i="1"/>
  <c r="U45" i="1"/>
  <c r="W45" i="1" s="1"/>
  <c r="W48" i="1"/>
  <c r="S59" i="1"/>
  <c r="U59" i="1" s="1"/>
  <c r="W59" i="1" s="1"/>
  <c r="V185" i="1"/>
  <c r="R152" i="9"/>
  <c r="T183" i="1"/>
  <c r="S183" i="1"/>
  <c r="U183" i="1" s="1"/>
  <c r="T333" i="1"/>
  <c r="V333" i="1" s="1"/>
  <c r="S333" i="1"/>
  <c r="U333" i="1" s="1"/>
  <c r="T199" i="1"/>
  <c r="T207" i="1"/>
  <c r="T338" i="1"/>
  <c r="V338" i="1" s="1"/>
  <c r="T346" i="1"/>
  <c r="T354" i="1"/>
  <c r="V89" i="1"/>
  <c r="V97" i="1"/>
  <c r="V105" i="1"/>
  <c r="R130" i="1"/>
  <c r="V130" i="1" s="1"/>
  <c r="R213" i="1"/>
  <c r="V213" i="1" s="1"/>
  <c r="U90" i="1"/>
  <c r="W90" i="1" s="1"/>
  <c r="U98" i="1"/>
  <c r="W98" i="1" s="1"/>
  <c r="U106" i="1"/>
  <c r="W106" i="1" s="1"/>
  <c r="S162" i="1"/>
  <c r="U162" i="1" s="1"/>
  <c r="S15" i="1"/>
  <c r="U15" i="1" s="1"/>
  <c r="W15" i="1" s="1"/>
  <c r="R15" i="1"/>
  <c r="V15" i="1" s="1"/>
  <c r="V41" i="1"/>
  <c r="U41" i="1"/>
  <c r="W41" i="1" s="1"/>
  <c r="V55" i="1"/>
  <c r="O58" i="9"/>
  <c r="N58" i="9"/>
  <c r="P58" i="9" s="1"/>
  <c r="E58" i="9"/>
  <c r="P67" i="9"/>
  <c r="O67" i="9"/>
  <c r="R73" i="9"/>
  <c r="P73" i="9"/>
  <c r="O73" i="9"/>
  <c r="P77" i="9"/>
  <c r="O77" i="9"/>
  <c r="R81" i="9"/>
  <c r="P81" i="9"/>
  <c r="O81" i="9"/>
  <c r="R85" i="9"/>
  <c r="P85" i="9"/>
  <c r="O85" i="9"/>
  <c r="P89" i="9"/>
  <c r="O89" i="9"/>
  <c r="N211" i="9"/>
  <c r="N217" i="9"/>
  <c r="O217" i="9" s="1"/>
  <c r="P221" i="9"/>
  <c r="R221" i="9"/>
  <c r="O280" i="9"/>
  <c r="N280" i="9"/>
  <c r="N290" i="9"/>
  <c r="N293" i="9"/>
  <c r="O293" i="9" s="1"/>
  <c r="P3" i="9"/>
  <c r="R3" i="9"/>
  <c r="O3" i="9"/>
  <c r="R7" i="9"/>
  <c r="P7" i="9"/>
  <c r="O7" i="9"/>
  <c r="R11" i="9"/>
  <c r="P11" i="9"/>
  <c r="O11" i="9"/>
  <c r="P15" i="9"/>
  <c r="O15" i="9"/>
  <c r="R15" i="9"/>
  <c r="P19" i="9"/>
  <c r="O19" i="9"/>
  <c r="R19" i="9"/>
  <c r="R33" i="9"/>
  <c r="P33" i="9"/>
  <c r="O33" i="9"/>
  <c r="O166" i="9"/>
  <c r="N166" i="9"/>
  <c r="P166" i="9" s="1"/>
  <c r="S60" i="1"/>
  <c r="U60" i="1" s="1"/>
  <c r="T60" i="1"/>
  <c r="S68" i="1"/>
  <c r="U68" i="1" s="1"/>
  <c r="W68" i="1" s="1"/>
  <c r="T68" i="1"/>
  <c r="R14" i="1"/>
  <c r="V183" i="1"/>
  <c r="V189" i="1"/>
  <c r="V332" i="1"/>
  <c r="O55" i="9"/>
  <c r="N55" i="9"/>
  <c r="P55" i="9" s="1"/>
  <c r="O117" i="9"/>
  <c r="N117" i="9"/>
  <c r="P117" i="9" s="1"/>
  <c r="S82" i="1"/>
  <c r="U82" i="1" s="1"/>
  <c r="T82" i="1"/>
  <c r="V82" i="1" s="1"/>
  <c r="V80" i="1"/>
  <c r="W80" i="1" s="1"/>
  <c r="N113" i="9"/>
  <c r="O113" i="9" s="1"/>
  <c r="O171" i="9"/>
  <c r="N171" i="9"/>
  <c r="P171" i="9" s="1"/>
  <c r="O244" i="9"/>
  <c r="N244" i="9"/>
  <c r="V181" i="1"/>
  <c r="N99" i="9"/>
  <c r="P99" i="9" s="1"/>
  <c r="N123" i="9"/>
  <c r="P123" i="9" s="1"/>
  <c r="O159" i="9"/>
  <c r="P159" i="9"/>
  <c r="R159" i="9"/>
  <c r="P210" i="9"/>
  <c r="R210" i="9"/>
  <c r="R279" i="9"/>
  <c r="P279" i="9"/>
  <c r="M245" i="9"/>
  <c r="P245" i="9"/>
  <c r="U53" i="1"/>
  <c r="W53" i="1" s="1"/>
  <c r="U70" i="1"/>
  <c r="W70" i="1" s="1"/>
  <c r="V187" i="1"/>
  <c r="O105" i="9"/>
  <c r="R115" i="9"/>
  <c r="P115" i="9"/>
  <c r="R4" i="9"/>
  <c r="P4" i="9"/>
  <c r="O4" i="9"/>
  <c r="R8" i="9"/>
  <c r="P8" i="9"/>
  <c r="O8" i="9"/>
  <c r="R12" i="9"/>
  <c r="P12" i="9"/>
  <c r="O12" i="9"/>
  <c r="R16" i="9"/>
  <c r="P16" i="9"/>
  <c r="O16" i="9"/>
  <c r="R27" i="9"/>
  <c r="P27" i="9"/>
  <c r="O27" i="9"/>
  <c r="P35" i="9"/>
  <c r="O35" i="9"/>
  <c r="R35" i="9"/>
  <c r="E60" i="9"/>
  <c r="O60" i="9"/>
  <c r="N60" i="9"/>
  <c r="P60" i="9" s="1"/>
  <c r="O63" i="9"/>
  <c r="E63" i="9"/>
  <c r="N120" i="9"/>
  <c r="P120" i="9" s="1"/>
  <c r="O127" i="9"/>
  <c r="R155" i="9"/>
  <c r="P155" i="9"/>
  <c r="N161" i="9"/>
  <c r="P161" i="9" s="1"/>
  <c r="N204" i="9"/>
  <c r="R207" i="9"/>
  <c r="P207" i="9"/>
  <c r="O270" i="9"/>
  <c r="N270" i="9"/>
  <c r="N273" i="9"/>
  <c r="N276" i="9"/>
  <c r="R69" i="9"/>
  <c r="P69" i="9"/>
  <c r="O69" i="9"/>
  <c r="P74" i="9"/>
  <c r="O74" i="9"/>
  <c r="R78" i="9"/>
  <c r="P78" i="9"/>
  <c r="O78" i="9"/>
  <c r="R82" i="9"/>
  <c r="P82" i="9"/>
  <c r="O82" i="9"/>
  <c r="P86" i="9"/>
  <c r="O86" i="9"/>
  <c r="R86" i="9"/>
  <c r="O101" i="9"/>
  <c r="O128" i="9"/>
  <c r="N128" i="9"/>
  <c r="P128" i="9" s="1"/>
  <c r="N169" i="9"/>
  <c r="P169" i="9" s="1"/>
  <c r="R177" i="9"/>
  <c r="N195" i="9"/>
  <c r="R201" i="9"/>
  <c r="P201" i="9"/>
  <c r="P226" i="9"/>
  <c r="R226" i="9"/>
  <c r="O258" i="9"/>
  <c r="N258" i="9"/>
  <c r="N264" i="9"/>
  <c r="R271" i="9"/>
  <c r="P271" i="9"/>
  <c r="P274" i="9"/>
  <c r="R274" i="9"/>
  <c r="R51" i="9"/>
  <c r="O121" i="9"/>
  <c r="O220" i="9"/>
  <c r="N220" i="9"/>
  <c r="O223" i="9"/>
  <c r="N223" i="9"/>
  <c r="R256" i="9"/>
  <c r="P256" i="9"/>
  <c r="P262" i="9"/>
  <c r="R262" i="9"/>
  <c r="N302" i="9"/>
  <c r="O302" i="9" s="1"/>
  <c r="R241" i="9"/>
  <c r="R2" i="9"/>
  <c r="P2" i="9"/>
  <c r="O2" i="9"/>
  <c r="R6" i="9"/>
  <c r="P6" i="9"/>
  <c r="O6" i="9"/>
  <c r="P10" i="9"/>
  <c r="O10" i="9"/>
  <c r="R14" i="9"/>
  <c r="P14" i="9"/>
  <c r="P18" i="9"/>
  <c r="O18" i="9"/>
  <c r="R18" i="9"/>
  <c r="P31" i="9"/>
  <c r="O31" i="9"/>
  <c r="P39" i="9"/>
  <c r="O39" i="9"/>
  <c r="R39" i="9"/>
  <c r="R53" i="9"/>
  <c r="P53" i="9"/>
  <c r="O53" i="9"/>
  <c r="R111" i="9"/>
  <c r="P111" i="9"/>
  <c r="N153" i="9"/>
  <c r="P209" i="9"/>
  <c r="R209" i="9"/>
  <c r="P215" i="9"/>
  <c r="O57" i="9"/>
  <c r="R31" i="9"/>
  <c r="R72" i="9"/>
  <c r="P72" i="9"/>
  <c r="R76" i="9"/>
  <c r="P76" i="9"/>
  <c r="O76" i="9"/>
  <c r="R80" i="9"/>
  <c r="P80" i="9"/>
  <c r="P84" i="9"/>
  <c r="O84" i="9"/>
  <c r="R88" i="9"/>
  <c r="P88" i="9"/>
  <c r="N91" i="9"/>
  <c r="O150" i="9"/>
  <c r="N150" i="9"/>
  <c r="R175" i="9"/>
  <c r="P175" i="9"/>
  <c r="P179" i="9"/>
  <c r="R183" i="9"/>
  <c r="P183" i="9"/>
  <c r="R187" i="9"/>
  <c r="P187" i="9"/>
  <c r="R191" i="9"/>
  <c r="P191" i="9"/>
  <c r="O191" i="9"/>
  <c r="P194" i="9"/>
  <c r="R194" i="9"/>
  <c r="N227" i="9"/>
  <c r="O227" i="9" s="1"/>
  <c r="O236" i="9"/>
  <c r="N236" i="9"/>
  <c r="R257" i="9"/>
  <c r="P257" i="9"/>
  <c r="V68" i="1"/>
  <c r="O14" i="9"/>
  <c r="O118" i="9"/>
  <c r="R151" i="9"/>
  <c r="P151" i="9"/>
  <c r="R157" i="9"/>
  <c r="O157" i="9"/>
  <c r="O165" i="9"/>
  <c r="R203" i="9"/>
  <c r="N212" i="9"/>
  <c r="P218" i="9"/>
  <c r="R218" i="9"/>
  <c r="O235" i="9"/>
  <c r="N235" i="9"/>
  <c r="O259" i="9"/>
  <c r="N259" i="9"/>
  <c r="P268" i="9"/>
  <c r="O279" i="9"/>
  <c r="N286" i="9"/>
  <c r="R318" i="9"/>
  <c r="O245" i="9"/>
  <c r="T69" i="1"/>
  <c r="V69" i="1" s="1"/>
  <c r="S69" i="1"/>
  <c r="U69" i="1" s="1"/>
  <c r="W69" i="1" s="1"/>
  <c r="S61" i="1"/>
  <c r="U61" i="1" s="1"/>
  <c r="W61" i="1" s="1"/>
  <c r="R20" i="9"/>
  <c r="P20" i="9"/>
  <c r="O20" i="9"/>
  <c r="R21" i="9"/>
  <c r="P21" i="9"/>
  <c r="R282" i="9"/>
  <c r="R34" i="9"/>
  <c r="P34" i="9"/>
  <c r="O34" i="9"/>
  <c r="R41" i="9"/>
  <c r="P41" i="9"/>
  <c r="R45" i="9"/>
  <c r="P45" i="9"/>
  <c r="R49" i="9"/>
  <c r="P49" i="9"/>
  <c r="P95" i="9"/>
  <c r="R95" i="9"/>
  <c r="R109" i="9"/>
  <c r="P109" i="9"/>
  <c r="O111" i="9"/>
  <c r="N114" i="9"/>
  <c r="O114" i="9"/>
  <c r="P136" i="9"/>
  <c r="R136" i="9"/>
  <c r="P144" i="9"/>
  <c r="R144" i="9"/>
  <c r="P148" i="9"/>
  <c r="R148" i="9"/>
  <c r="O151" i="9"/>
  <c r="O209" i="9"/>
  <c r="P213" i="9"/>
  <c r="R213" i="9"/>
  <c r="O215" i="9"/>
  <c r="R233" i="9"/>
  <c r="P233" i="9"/>
  <c r="R239" i="9"/>
  <c r="P239" i="9"/>
  <c r="O241" i="9"/>
  <c r="P254" i="9"/>
  <c r="R254" i="9"/>
  <c r="O256" i="9"/>
  <c r="R260" i="9"/>
  <c r="P260" i="9"/>
  <c r="O262" i="9"/>
  <c r="N265" i="9"/>
  <c r="O265" i="9" s="1"/>
  <c r="R296" i="9"/>
  <c r="P296" i="9"/>
  <c r="R299" i="9"/>
  <c r="P299" i="9"/>
  <c r="O299" i="9"/>
  <c r="O62" i="9"/>
  <c r="P157" i="9"/>
  <c r="R28" i="9"/>
  <c r="P28" i="9"/>
  <c r="O28" i="9"/>
  <c r="R36" i="9"/>
  <c r="P36" i="9"/>
  <c r="O36" i="9"/>
  <c r="P42" i="9"/>
  <c r="R42" i="9"/>
  <c r="O42" i="9"/>
  <c r="R46" i="9"/>
  <c r="P46" i="9"/>
  <c r="R50" i="9"/>
  <c r="P50" i="9"/>
  <c r="O50" i="9"/>
  <c r="E65" i="9"/>
  <c r="R93" i="9"/>
  <c r="P93" i="9"/>
  <c r="O95" i="9"/>
  <c r="N98" i="9"/>
  <c r="P98" i="9" s="1"/>
  <c r="O98" i="9"/>
  <c r="R107" i="9"/>
  <c r="P107" i="9"/>
  <c r="N119" i="9"/>
  <c r="O125" i="9"/>
  <c r="O163" i="9"/>
  <c r="N173" i="9"/>
  <c r="P173" i="9" s="1"/>
  <c r="R193" i="9"/>
  <c r="P193" i="9"/>
  <c r="R199" i="9"/>
  <c r="P199" i="9"/>
  <c r="O201" i="9"/>
  <c r="P205" i="9"/>
  <c r="O207" i="9"/>
  <c r="R225" i="9"/>
  <c r="R231" i="9"/>
  <c r="P231" i="9"/>
  <c r="O233" i="9"/>
  <c r="O239" i="9"/>
  <c r="R252" i="9"/>
  <c r="P252" i="9"/>
  <c r="O254" i="9"/>
  <c r="P278" i="9"/>
  <c r="R278" i="9"/>
  <c r="R291" i="9"/>
  <c r="P291" i="9"/>
  <c r="P294" i="9"/>
  <c r="R294" i="9"/>
  <c r="O296" i="9"/>
  <c r="O250" i="9"/>
  <c r="N250" i="9"/>
  <c r="O49" i="9"/>
  <c r="O65" i="9"/>
  <c r="P203" i="9"/>
  <c r="R5" i="9"/>
  <c r="P5" i="9"/>
  <c r="R9" i="9"/>
  <c r="P9" i="9"/>
  <c r="R13" i="9"/>
  <c r="P13" i="9"/>
  <c r="R17" i="9"/>
  <c r="P17" i="9"/>
  <c r="R29" i="9"/>
  <c r="P29" i="9"/>
  <c r="R37" i="9"/>
  <c r="P37" i="9"/>
  <c r="P51" i="9"/>
  <c r="O51" i="9"/>
  <c r="O59" i="9"/>
  <c r="N59" i="9"/>
  <c r="P59" i="9" s="1"/>
  <c r="P71" i="9"/>
  <c r="O71" i="9"/>
  <c r="P75" i="9"/>
  <c r="O75" i="9"/>
  <c r="P79" i="9"/>
  <c r="R79" i="9"/>
  <c r="O79" i="9"/>
  <c r="R83" i="9"/>
  <c r="P83" i="9"/>
  <c r="O83" i="9"/>
  <c r="R87" i="9"/>
  <c r="P87" i="9"/>
  <c r="O87" i="9"/>
  <c r="N90" i="9"/>
  <c r="O90" i="9"/>
  <c r="O115" i="9"/>
  <c r="O129" i="9"/>
  <c r="R149" i="9"/>
  <c r="O155" i="9"/>
  <c r="N196" i="9"/>
  <c r="O196" i="9" s="1"/>
  <c r="P202" i="9"/>
  <c r="R202" i="9"/>
  <c r="O219" i="9"/>
  <c r="N219" i="9"/>
  <c r="N228" i="9"/>
  <c r="P234" i="9"/>
  <c r="R234" i="9"/>
  <c r="O269" i="9"/>
  <c r="N269" i="9"/>
  <c r="O281" i="9"/>
  <c r="N281" i="9"/>
  <c r="N284" i="9"/>
  <c r="R288" i="9"/>
  <c r="P288" i="9"/>
  <c r="P243" i="9"/>
  <c r="M243" i="9"/>
  <c r="P248" i="9"/>
  <c r="M248" i="9"/>
  <c r="O175" i="9"/>
  <c r="O179" i="9"/>
  <c r="O187" i="9"/>
  <c r="O37" i="9"/>
  <c r="O167" i="9"/>
  <c r="R132" i="9"/>
  <c r="R229" i="9"/>
  <c r="O107" i="9"/>
  <c r="O149" i="9"/>
  <c r="P156" i="9"/>
  <c r="R156" i="9"/>
  <c r="O193" i="9"/>
  <c r="O225" i="9"/>
  <c r="R267" i="9"/>
  <c r="O278" i="9"/>
  <c r="N304" i="9"/>
  <c r="O248" i="9"/>
  <c r="W21" i="1"/>
  <c r="W67" i="1"/>
  <c r="O9" i="9"/>
  <c r="R140" i="9"/>
  <c r="R237" i="9"/>
  <c r="R110" i="9"/>
  <c r="P110" i="9"/>
  <c r="O126" i="9"/>
  <c r="R133" i="9"/>
  <c r="R137" i="9"/>
  <c r="R141" i="9"/>
  <c r="R145" i="9"/>
  <c r="O148" i="9"/>
  <c r="P154" i="9"/>
  <c r="R154" i="9"/>
  <c r="O156" i="9"/>
  <c r="O164" i="9"/>
  <c r="O172" i="9"/>
  <c r="R176" i="9"/>
  <c r="P176" i="9"/>
  <c r="P180" i="9"/>
  <c r="R180" i="9"/>
  <c r="R184" i="9"/>
  <c r="P184" i="9"/>
  <c r="R192" i="9"/>
  <c r="P192" i="9"/>
  <c r="O194" i="9"/>
  <c r="P200" i="9"/>
  <c r="O202" i="9"/>
  <c r="R208" i="9"/>
  <c r="P208" i="9"/>
  <c r="O210" i="9"/>
  <c r="R216" i="9"/>
  <c r="P216" i="9"/>
  <c r="O218" i="9"/>
  <c r="R224" i="9"/>
  <c r="P224" i="9"/>
  <c r="O226" i="9"/>
  <c r="R232" i="9"/>
  <c r="P232" i="9"/>
  <c r="O234" i="9"/>
  <c r="R240" i="9"/>
  <c r="P240" i="9"/>
  <c r="R255" i="9"/>
  <c r="O257" i="9"/>
  <c r="P263" i="9"/>
  <c r="O268" i="9"/>
  <c r="R277" i="9"/>
  <c r="O282" i="9"/>
  <c r="O285" i="9"/>
  <c r="N285" i="9"/>
  <c r="R300" i="9"/>
  <c r="P300" i="9"/>
  <c r="R303" i="9"/>
  <c r="P303" i="9"/>
  <c r="M246" i="9"/>
  <c r="V62" i="1"/>
  <c r="W62" i="1" s="1"/>
  <c r="R22" i="9"/>
  <c r="P22" i="9"/>
  <c r="R266" i="9"/>
  <c r="O197" i="9"/>
  <c r="O205" i="9"/>
  <c r="O213" i="9"/>
  <c r="O221" i="9"/>
  <c r="O229" i="9"/>
  <c r="O237" i="9"/>
  <c r="O252" i="9"/>
  <c r="O260" i="9"/>
  <c r="O271" i="9"/>
  <c r="O274" i="9"/>
  <c r="O288" i="9"/>
  <c r="O291" i="9"/>
  <c r="O294" i="9"/>
  <c r="R297" i="9"/>
  <c r="R251" i="9"/>
  <c r="P23" i="9"/>
  <c r="O23" i="9"/>
  <c r="R23" i="9"/>
  <c r="O132" i="9"/>
  <c r="O140" i="9"/>
  <c r="O174" i="9"/>
  <c r="O178" i="9"/>
  <c r="O182" i="9"/>
  <c r="O186" i="9"/>
  <c r="O190" i="9"/>
  <c r="P255" i="9"/>
  <c r="P277" i="9"/>
  <c r="R94" i="9"/>
  <c r="R160" i="9"/>
  <c r="R30" i="9"/>
  <c r="P30" i="9"/>
  <c r="R38" i="9"/>
  <c r="P38" i="9"/>
  <c r="P43" i="9"/>
  <c r="O43" i="9"/>
  <c r="R43" i="9"/>
  <c r="P47" i="9"/>
  <c r="R47" i="9"/>
  <c r="O47" i="9"/>
  <c r="R52" i="9"/>
  <c r="P52" i="9"/>
  <c r="R68" i="9"/>
  <c r="P68" i="9"/>
  <c r="P92" i="9"/>
  <c r="R108" i="9"/>
  <c r="P108" i="9"/>
  <c r="P130" i="9"/>
  <c r="R130" i="9"/>
  <c r="R134" i="9"/>
  <c r="P134" i="9"/>
  <c r="P138" i="9"/>
  <c r="R138" i="9"/>
  <c r="R142" i="9"/>
  <c r="P142" i="9"/>
  <c r="P146" i="9"/>
  <c r="R146" i="9"/>
  <c r="O154" i="9"/>
  <c r="R158" i="9"/>
  <c r="P158" i="9"/>
  <c r="O158" i="9"/>
  <c r="O162" i="9"/>
  <c r="O170" i="9"/>
  <c r="R181" i="9"/>
  <c r="R185" i="9"/>
  <c r="P185" i="9"/>
  <c r="R189" i="9"/>
  <c r="P189" i="9"/>
  <c r="O192" i="9"/>
  <c r="P198" i="9"/>
  <c r="R198" i="9"/>
  <c r="O200" i="9"/>
  <c r="P206" i="9"/>
  <c r="R206" i="9"/>
  <c r="O208" i="9"/>
  <c r="P214" i="9"/>
  <c r="R214" i="9"/>
  <c r="O216" i="9"/>
  <c r="P222" i="9"/>
  <c r="R222" i="9"/>
  <c r="O224" i="9"/>
  <c r="P230" i="9"/>
  <c r="R230" i="9"/>
  <c r="O232" i="9"/>
  <c r="P238" i="9"/>
  <c r="R238" i="9"/>
  <c r="O240" i="9"/>
  <c r="P253" i="9"/>
  <c r="R253" i="9"/>
  <c r="O266" i="9"/>
  <c r="R272" i="9"/>
  <c r="P272" i="9"/>
  <c r="R275" i="9"/>
  <c r="O277" i="9"/>
  <c r="R292" i="9"/>
  <c r="P292" i="9"/>
  <c r="P298" i="9"/>
  <c r="R298" i="9"/>
  <c r="O300" i="9"/>
  <c r="R308" i="9"/>
  <c r="P308" i="9"/>
  <c r="R312" i="9"/>
  <c r="P312" i="9"/>
  <c r="R316" i="9"/>
  <c r="P316" i="9"/>
  <c r="R320" i="9"/>
  <c r="P320" i="9"/>
  <c r="M247" i="9"/>
  <c r="P247" i="9"/>
  <c r="O251" i="9"/>
  <c r="W24" i="1"/>
  <c r="O52" i="9"/>
  <c r="O68" i="9"/>
  <c r="P137" i="9"/>
  <c r="R32" i="9"/>
  <c r="P32" i="9"/>
  <c r="R40" i="9"/>
  <c r="P40" i="9"/>
  <c r="R44" i="9"/>
  <c r="P44" i="9"/>
  <c r="R48" i="9"/>
  <c r="P48" i="9"/>
  <c r="R54" i="9"/>
  <c r="P54" i="9"/>
  <c r="O122" i="9"/>
  <c r="R131" i="9"/>
  <c r="P131" i="9"/>
  <c r="R135" i="9"/>
  <c r="R139" i="9"/>
  <c r="P139" i="9"/>
  <c r="R147" i="9"/>
  <c r="P147" i="9"/>
  <c r="O168" i="9"/>
  <c r="P174" i="9"/>
  <c r="R174" i="9"/>
  <c r="P178" i="9"/>
  <c r="R178" i="9"/>
  <c r="P182" i="9"/>
  <c r="R182" i="9"/>
  <c r="P186" i="9"/>
  <c r="R186" i="9"/>
  <c r="P190" i="9"/>
  <c r="R190" i="9"/>
  <c r="O198" i="9"/>
  <c r="O206" i="9"/>
  <c r="O214" i="9"/>
  <c r="O222" i="9"/>
  <c r="O230" i="9"/>
  <c r="O238" i="9"/>
  <c r="O253" i="9"/>
  <c r="O261" i="9"/>
  <c r="O272" i="9"/>
  <c r="O275" i="9"/>
  <c r="R287" i="9"/>
  <c r="O292" i="9"/>
  <c r="O298" i="9"/>
  <c r="N301" i="9"/>
  <c r="O243" i="9"/>
  <c r="V25" i="1"/>
  <c r="W25" i="1" s="1"/>
  <c r="U27" i="1"/>
  <c r="W27" i="1" s="1"/>
  <c r="V60" i="1"/>
  <c r="R26" i="9"/>
  <c r="O287" i="9"/>
  <c r="R70" i="9"/>
  <c r="N289" i="9"/>
  <c r="O289" i="9" s="1"/>
  <c r="R305" i="9"/>
  <c r="R313" i="9"/>
  <c r="R321" i="9"/>
  <c r="M249" i="9"/>
  <c r="M242" i="9"/>
  <c r="S64" i="1"/>
  <c r="U64" i="1" s="1"/>
  <c r="W64" i="1" s="1"/>
  <c r="R24" i="9"/>
  <c r="P26" i="9"/>
  <c r="R317" i="9"/>
  <c r="O246" i="9"/>
  <c r="R25" i="9"/>
  <c r="O133" i="9"/>
  <c r="O137" i="9"/>
  <c r="O141" i="9"/>
  <c r="O145" i="9"/>
  <c r="O308" i="9"/>
  <c r="O312" i="9"/>
  <c r="O316" i="9"/>
  <c r="O320" i="9"/>
  <c r="O303" i="9"/>
  <c r="P313" i="9"/>
  <c r="R295" i="9"/>
  <c r="O297" i="9"/>
  <c r="P306" i="9"/>
  <c r="P310" i="9"/>
  <c r="P314" i="9"/>
  <c r="P318" i="9"/>
  <c r="P322" i="9"/>
  <c r="O249" i="9"/>
  <c r="O242" i="9"/>
  <c r="R322" i="9"/>
  <c r="R307" i="9"/>
  <c r="R311" i="9"/>
  <c r="R315" i="9"/>
  <c r="P24" i="9"/>
  <c r="P295" i="9"/>
  <c r="R306" i="9"/>
  <c r="P212" i="9" l="1"/>
  <c r="R212" i="9"/>
  <c r="W344" i="1"/>
  <c r="W290" i="1"/>
  <c r="R263" i="9"/>
  <c r="R304" i="9"/>
  <c r="P304" i="9"/>
  <c r="R90" i="9"/>
  <c r="P90" i="9"/>
  <c r="R268" i="9"/>
  <c r="O212" i="9"/>
  <c r="P91" i="9"/>
  <c r="R91" i="9"/>
  <c r="P220" i="9"/>
  <c r="R220" i="9"/>
  <c r="O99" i="9"/>
  <c r="W97" i="1"/>
  <c r="V18" i="1"/>
  <c r="V316" i="1"/>
  <c r="W283" i="1"/>
  <c r="V9" i="1"/>
  <c r="W9" i="1" s="1"/>
  <c r="V218" i="1"/>
  <c r="W134" i="1"/>
  <c r="U294" i="1"/>
  <c r="W294" i="1" s="1"/>
  <c r="U117" i="1"/>
  <c r="W117" i="1" s="1"/>
  <c r="W164" i="1"/>
  <c r="V261" i="1"/>
  <c r="U299" i="1"/>
  <c r="W299" i="1" s="1"/>
  <c r="V29" i="1"/>
  <c r="W154" i="1"/>
  <c r="W145" i="1"/>
  <c r="W159" i="1"/>
  <c r="V277" i="1"/>
  <c r="U136" i="1"/>
  <c r="W136" i="1" s="1"/>
  <c r="U235" i="1"/>
  <c r="W235" i="1" s="1"/>
  <c r="U58" i="1"/>
  <c r="U128" i="1"/>
  <c r="W128" i="1" s="1"/>
  <c r="W186" i="1"/>
  <c r="W196" i="1"/>
  <c r="V169" i="1"/>
  <c r="W169" i="1" s="1"/>
  <c r="V274" i="1"/>
  <c r="V129" i="1"/>
  <c r="U120" i="1"/>
  <c r="W120" i="1" s="1"/>
  <c r="V72" i="1"/>
  <c r="U337" i="1"/>
  <c r="W337" i="1" s="1"/>
  <c r="V313" i="1"/>
  <c r="U225" i="1"/>
  <c r="W225" i="1" s="1"/>
  <c r="W349" i="1"/>
  <c r="U308" i="1"/>
  <c r="W350" i="1"/>
  <c r="W174" i="1"/>
  <c r="W152" i="1"/>
  <c r="U216" i="1"/>
  <c r="W216" i="1" s="1"/>
  <c r="V262" i="1"/>
  <c r="U307" i="1"/>
  <c r="W307" i="1" s="1"/>
  <c r="V227" i="1"/>
  <c r="W200" i="1"/>
  <c r="V230" i="1"/>
  <c r="V320" i="1"/>
  <c r="V264" i="1"/>
  <c r="U240" i="1"/>
  <c r="W240" i="1" s="1"/>
  <c r="V206" i="1"/>
  <c r="U269" i="1"/>
  <c r="W269" i="1" s="1"/>
  <c r="V147" i="1"/>
  <c r="V327" i="1"/>
  <c r="U255" i="1"/>
  <c r="W255" i="1" s="1"/>
  <c r="S31" i="1"/>
  <c r="U31" i="1" s="1"/>
  <c r="R31" i="1"/>
  <c r="T31" i="1"/>
  <c r="C32" i="1"/>
  <c r="R197" i="9"/>
  <c r="V237" i="1"/>
  <c r="U253" i="1"/>
  <c r="U317" i="1"/>
  <c r="W317" i="1" s="1"/>
  <c r="P196" i="9"/>
  <c r="R196" i="9"/>
  <c r="R265" i="9"/>
  <c r="P265" i="9"/>
  <c r="W150" i="1"/>
  <c r="W195" i="1"/>
  <c r="R284" i="9"/>
  <c r="P284" i="9"/>
  <c r="P228" i="9"/>
  <c r="R228" i="9"/>
  <c r="P250" i="9"/>
  <c r="M250" i="9"/>
  <c r="P119" i="9"/>
  <c r="O119" i="9"/>
  <c r="P114" i="9"/>
  <c r="R114" i="9"/>
  <c r="R259" i="9"/>
  <c r="P259" i="9"/>
  <c r="O91" i="9"/>
  <c r="R215" i="9"/>
  <c r="R264" i="9"/>
  <c r="P264" i="9"/>
  <c r="R195" i="9"/>
  <c r="P195" i="9"/>
  <c r="R71" i="9"/>
  <c r="R113" i="9"/>
  <c r="P113" i="9"/>
  <c r="W60" i="1"/>
  <c r="P290" i="9"/>
  <c r="R290" i="9"/>
  <c r="R211" i="9"/>
  <c r="P211" i="9"/>
  <c r="W332" i="1"/>
  <c r="W18" i="1"/>
  <c r="W37" i="1"/>
  <c r="W142" i="1"/>
  <c r="W334" i="1"/>
  <c r="V346" i="1"/>
  <c r="W29" i="1"/>
  <c r="W179" i="1"/>
  <c r="V58" i="1"/>
  <c r="W153" i="1"/>
  <c r="W141" i="1"/>
  <c r="U226" i="1"/>
  <c r="W226" i="1" s="1"/>
  <c r="W129" i="1"/>
  <c r="W137" i="1"/>
  <c r="U312" i="1"/>
  <c r="W312" i="1" s="1"/>
  <c r="V259" i="1"/>
  <c r="U114" i="1"/>
  <c r="W114" i="1" s="1"/>
  <c r="V337" i="1"/>
  <c r="W313" i="1"/>
  <c r="W55" i="1"/>
  <c r="W339" i="1"/>
  <c r="V308" i="1"/>
  <c r="U198" i="1"/>
  <c r="W262" i="1"/>
  <c r="W210" i="1"/>
  <c r="W230" i="1"/>
  <c r="U116" i="1"/>
  <c r="W116" i="1" s="1"/>
  <c r="W320" i="1"/>
  <c r="W264" i="1"/>
  <c r="U190" i="1"/>
  <c r="W190" i="1" s="1"/>
  <c r="V269" i="1"/>
  <c r="W327" i="1"/>
  <c r="V30" i="1"/>
  <c r="V253" i="1"/>
  <c r="P293" i="9"/>
  <c r="R293" i="9"/>
  <c r="W242" i="1"/>
  <c r="W204" i="1"/>
  <c r="W237" i="1"/>
  <c r="R301" i="9"/>
  <c r="P301" i="9"/>
  <c r="R285" i="9"/>
  <c r="P285" i="9"/>
  <c r="O304" i="9"/>
  <c r="O284" i="9"/>
  <c r="O228" i="9"/>
  <c r="O264" i="9"/>
  <c r="O195" i="9"/>
  <c r="R276" i="9"/>
  <c r="P276" i="9"/>
  <c r="P204" i="9"/>
  <c r="R204" i="9"/>
  <c r="O290" i="9"/>
  <c r="O211" i="9"/>
  <c r="U7" i="1"/>
  <c r="W7" i="1" s="1"/>
  <c r="U213" i="1"/>
  <c r="W213" i="1" s="1"/>
  <c r="W218" i="1"/>
  <c r="W201" i="1"/>
  <c r="W335" i="1"/>
  <c r="W346" i="1"/>
  <c r="W205" i="1"/>
  <c r="V207" i="1"/>
  <c r="W207" i="1" s="1"/>
  <c r="V288" i="1"/>
  <c r="W197" i="1"/>
  <c r="V128" i="1"/>
  <c r="U322" i="1"/>
  <c r="W322" i="1" s="1"/>
  <c r="W274" i="1"/>
  <c r="W181" i="1"/>
  <c r="W343" i="1"/>
  <c r="W72" i="1"/>
  <c r="V241" i="1"/>
  <c r="W161" i="1"/>
  <c r="W173" i="1"/>
  <c r="V198" i="1"/>
  <c r="W342" i="1"/>
  <c r="W208" i="1"/>
  <c r="W227" i="1"/>
  <c r="W163" i="1"/>
  <c r="W30" i="1"/>
  <c r="W139" i="1"/>
  <c r="R200" i="9"/>
  <c r="R281" i="9"/>
  <c r="P281" i="9"/>
  <c r="R219" i="9"/>
  <c r="P219" i="9"/>
  <c r="R235" i="9"/>
  <c r="P235" i="9"/>
  <c r="R179" i="9"/>
  <c r="P258" i="9"/>
  <c r="R258" i="9"/>
  <c r="O276" i="9"/>
  <c r="O204" i="9"/>
  <c r="P244" i="9"/>
  <c r="M244" i="9"/>
  <c r="R280" i="9"/>
  <c r="P280" i="9"/>
  <c r="W333" i="1"/>
  <c r="W83" i="1"/>
  <c r="V12" i="1"/>
  <c r="U12" i="1"/>
  <c r="W12" i="1" s="1"/>
  <c r="W221" i="1"/>
  <c r="W51" i="1"/>
  <c r="W252" i="1"/>
  <c r="U323" i="1"/>
  <c r="W323" i="1" s="1"/>
  <c r="U156" i="1"/>
  <c r="W156" i="1" s="1"/>
  <c r="W180" i="1"/>
  <c r="T73" i="1"/>
  <c r="S73" i="1"/>
  <c r="R73" i="1"/>
  <c r="V73" i="1" s="1"/>
  <c r="C74" i="1"/>
  <c r="W176" i="1"/>
  <c r="U288" i="1"/>
  <c r="W288" i="1" s="1"/>
  <c r="U330" i="1"/>
  <c r="W330" i="1" s="1"/>
  <c r="V123" i="1"/>
  <c r="W351" i="1"/>
  <c r="U303" i="1"/>
  <c r="W303" i="1" s="1"/>
  <c r="U10" i="1"/>
  <c r="W10" i="1" s="1"/>
  <c r="U192" i="1"/>
  <c r="W192" i="1" s="1"/>
  <c r="U113" i="1"/>
  <c r="U287" i="1"/>
  <c r="W287" i="1" s="1"/>
  <c r="U133" i="1"/>
  <c r="W133" i="1" s="1"/>
  <c r="W171" i="1"/>
  <c r="U259" i="1"/>
  <c r="W259" i="1" s="1"/>
  <c r="V353" i="1"/>
  <c r="W353" i="1" s="1"/>
  <c r="U329" i="1"/>
  <c r="W329" i="1" s="1"/>
  <c r="V305" i="1"/>
  <c r="U241" i="1"/>
  <c r="W241" i="1" s="1"/>
  <c r="W112" i="1"/>
  <c r="W149" i="1"/>
  <c r="U286" i="1"/>
  <c r="W286" i="1" s="1"/>
  <c r="W157" i="1"/>
  <c r="U296" i="1"/>
  <c r="W296" i="1" s="1"/>
  <c r="U119" i="1"/>
  <c r="W119" i="1" s="1"/>
  <c r="U155" i="1"/>
  <c r="W155" i="1" s="1"/>
  <c r="U247" i="1"/>
  <c r="W247" i="1" s="1"/>
  <c r="V124" i="1"/>
  <c r="W124" i="1" s="1"/>
  <c r="W2" i="1"/>
  <c r="V139" i="1"/>
  <c r="R227" i="9"/>
  <c r="P227" i="9"/>
  <c r="P217" i="9"/>
  <c r="R217" i="9"/>
  <c r="W168" i="1"/>
  <c r="R289" i="9"/>
  <c r="P289" i="9"/>
  <c r="R205" i="9"/>
  <c r="O173" i="9"/>
  <c r="P286" i="9"/>
  <c r="R286" i="9"/>
  <c r="R153" i="9"/>
  <c r="P153" i="9"/>
  <c r="R273" i="9"/>
  <c r="P273" i="9"/>
  <c r="W82" i="1"/>
  <c r="R67" i="9"/>
  <c r="V156" i="1"/>
  <c r="W185" i="1"/>
  <c r="W341" i="1"/>
  <c r="W338" i="1"/>
  <c r="W258" i="1"/>
  <c r="V113" i="1"/>
  <c r="W138" i="1"/>
  <c r="U193" i="1"/>
  <c r="W193" i="1" s="1"/>
  <c r="W305" i="1"/>
  <c r="W151" i="1"/>
  <c r="W211" i="1"/>
  <c r="W187" i="1"/>
  <c r="W293" i="1"/>
  <c r="W273" i="1"/>
  <c r="W206" i="1"/>
  <c r="P269" i="9"/>
  <c r="R269" i="9"/>
  <c r="O286" i="9"/>
  <c r="P236" i="9"/>
  <c r="R236" i="9"/>
  <c r="O153" i="9"/>
  <c r="R10" i="9"/>
  <c r="O273" i="9"/>
  <c r="O120" i="9"/>
  <c r="V14" i="1"/>
  <c r="U14" i="1"/>
  <c r="W14" i="1" s="1"/>
  <c r="R89" i="9"/>
  <c r="W162" i="1"/>
  <c r="W183" i="1"/>
  <c r="V20" i="1"/>
  <c r="W47" i="1"/>
  <c r="U300" i="1"/>
  <c r="W300" i="1" s="1"/>
  <c r="R75" i="9"/>
  <c r="V115" i="1"/>
  <c r="V219" i="1"/>
  <c r="W135" i="1"/>
  <c r="W5" i="1"/>
  <c r="U326" i="1"/>
  <c r="W326" i="1" s="1"/>
  <c r="U125" i="1"/>
  <c r="W125" i="1" s="1"/>
  <c r="U3" i="1"/>
  <c r="W3" i="1" s="1"/>
  <c r="W172" i="1"/>
  <c r="W158" i="1"/>
  <c r="U270" i="1"/>
  <c r="W270" i="1" s="1"/>
  <c r="W352" i="1"/>
  <c r="V57" i="1"/>
  <c r="U248" i="1"/>
  <c r="W248" i="1" s="1"/>
  <c r="W146" i="1"/>
  <c r="W212" i="1"/>
  <c r="U331" i="1"/>
  <c r="W331" i="1" s="1"/>
  <c r="U306" i="1"/>
  <c r="W306" i="1" s="1"/>
  <c r="W336" i="1"/>
  <c r="V267" i="1"/>
  <c r="V297" i="1"/>
  <c r="U233" i="1"/>
  <c r="W233" i="1" s="1"/>
  <c r="V112" i="1"/>
  <c r="V56" i="1"/>
  <c r="W203" i="1"/>
  <c r="V310" i="1"/>
  <c r="U132" i="1"/>
  <c r="W132" i="1" s="1"/>
  <c r="V319" i="1"/>
  <c r="W347" i="1"/>
  <c r="U109" i="1"/>
  <c r="W109" i="1" s="1"/>
  <c r="U328" i="1"/>
  <c r="W328" i="1" s="1"/>
  <c r="V272" i="1"/>
  <c r="U224" i="1"/>
  <c r="W224" i="1" s="1"/>
  <c r="U111" i="1"/>
  <c r="W111" i="1" s="1"/>
  <c r="U263" i="1"/>
  <c r="W263" i="1" s="1"/>
  <c r="V231" i="1"/>
  <c r="V118" i="1"/>
  <c r="V301" i="1"/>
  <c r="W301" i="1" s="1"/>
  <c r="V234" i="1"/>
  <c r="V2" i="1"/>
  <c r="V285" i="1"/>
  <c r="W285" i="1" s="1"/>
  <c r="P302" i="9"/>
  <c r="R302" i="9"/>
  <c r="O301" i="9"/>
  <c r="R92" i="9"/>
  <c r="R283" i="9"/>
  <c r="R150" i="9"/>
  <c r="P150" i="9"/>
  <c r="R84" i="9"/>
  <c r="R223" i="9"/>
  <c r="P223" i="9"/>
  <c r="O169" i="9"/>
  <c r="R74" i="9"/>
  <c r="P270" i="9"/>
  <c r="R270" i="9"/>
  <c r="O161" i="9"/>
  <c r="O123" i="9"/>
  <c r="R77" i="9"/>
  <c r="W20" i="1"/>
  <c r="U214" i="1"/>
  <c r="W214" i="1" s="1"/>
  <c r="U130" i="1"/>
  <c r="W130" i="1" s="1"/>
  <c r="W315" i="1"/>
  <c r="V292" i="1"/>
  <c r="W292" i="1" s="1"/>
  <c r="R261" i="9"/>
  <c r="U107" i="1"/>
  <c r="W107" i="1" s="1"/>
  <c r="V6" i="1"/>
  <c r="W6" i="1" s="1"/>
  <c r="U219" i="1"/>
  <c r="W219" i="1" s="1"/>
  <c r="U19" i="1"/>
  <c r="W19" i="1" s="1"/>
  <c r="U115" i="1"/>
  <c r="W115" i="1" s="1"/>
  <c r="U268" i="1"/>
  <c r="W268" i="1" s="1"/>
  <c r="W340" i="1"/>
  <c r="V318" i="1"/>
  <c r="W318" i="1" s="1"/>
  <c r="U261" i="1"/>
  <c r="W261" i="1" s="1"/>
  <c r="U250" i="1"/>
  <c r="W250" i="1" s="1"/>
  <c r="W189" i="1"/>
  <c r="W57" i="1"/>
  <c r="U277" i="1"/>
  <c r="W277" i="1" s="1"/>
  <c r="U123" i="1"/>
  <c r="W123" i="1" s="1"/>
  <c r="U282" i="1"/>
  <c r="W282" i="1" s="1"/>
  <c r="U316" i="1"/>
  <c r="W316" i="1" s="1"/>
  <c r="V121" i="1"/>
  <c r="W121" i="1" s="1"/>
  <c r="U199" i="1"/>
  <c r="W199" i="1" s="1"/>
  <c r="W194" i="1"/>
  <c r="U324" i="1"/>
  <c r="W324" i="1" s="1"/>
  <c r="V242" i="1"/>
  <c r="V191" i="1"/>
  <c r="W191" i="1" s="1"/>
  <c r="W188" i="1"/>
  <c r="V4" i="1"/>
  <c r="W4" i="1" s="1"/>
  <c r="U267" i="1"/>
  <c r="W267" i="1" s="1"/>
  <c r="W184" i="1"/>
  <c r="U276" i="1"/>
  <c r="W276" i="1" s="1"/>
  <c r="R314" i="9"/>
  <c r="V345" i="1"/>
  <c r="W345" i="1" s="1"/>
  <c r="V321" i="1"/>
  <c r="W321" i="1" s="1"/>
  <c r="U297" i="1"/>
  <c r="W297" i="1" s="1"/>
  <c r="V273" i="1"/>
  <c r="V249" i="1"/>
  <c r="W249" i="1" s="1"/>
  <c r="V71" i="1"/>
  <c r="W71" i="1" s="1"/>
  <c r="U284" i="1"/>
  <c r="W284" i="1" s="1"/>
  <c r="V16" i="1"/>
  <c r="W16" i="1" s="1"/>
  <c r="V275" i="1"/>
  <c r="W275" i="1" s="1"/>
  <c r="V304" i="1"/>
  <c r="W304" i="1" s="1"/>
  <c r="U56" i="1"/>
  <c r="W56" i="1" s="1"/>
  <c r="W202" i="1"/>
  <c r="V293" i="1"/>
  <c r="U310" i="1"/>
  <c r="W310" i="1" s="1"/>
  <c r="V244" i="1"/>
  <c r="W244" i="1" s="1"/>
  <c r="U319" i="1"/>
  <c r="U272" i="1"/>
  <c r="W272" i="1" s="1"/>
  <c r="V140" i="1"/>
  <c r="W140" i="1" s="1"/>
  <c r="U147" i="1"/>
  <c r="W147" i="1" s="1"/>
  <c r="U122" i="1"/>
  <c r="W122" i="1" s="1"/>
  <c r="V295" i="1"/>
  <c r="W295" i="1" s="1"/>
  <c r="U231" i="1"/>
  <c r="W231" i="1" s="1"/>
  <c r="U118" i="1"/>
  <c r="W118" i="1" s="1"/>
  <c r="U234" i="1"/>
  <c r="V148" i="1"/>
  <c r="W148" i="1" s="1"/>
  <c r="U245" i="1"/>
  <c r="W245" i="1" s="1"/>
  <c r="V31" i="1" l="1"/>
  <c r="W58" i="1"/>
  <c r="W113" i="1"/>
  <c r="W31" i="1"/>
  <c r="S74" i="1"/>
  <c r="R74" i="1"/>
  <c r="C75" i="1"/>
  <c r="T74" i="1"/>
  <c r="W253" i="1"/>
  <c r="W308" i="1"/>
  <c r="U73" i="1"/>
  <c r="W73" i="1" s="1"/>
  <c r="W234" i="1"/>
  <c r="W319" i="1"/>
  <c r="W198" i="1"/>
  <c r="C33" i="1"/>
  <c r="S32" i="1"/>
  <c r="U32" i="1" s="1"/>
  <c r="R32" i="1"/>
  <c r="T32" i="1"/>
  <c r="U74" i="1" l="1"/>
  <c r="V74" i="1"/>
  <c r="R33" i="1"/>
  <c r="V33" i="1" s="1"/>
  <c r="C34" i="1"/>
  <c r="T33" i="1"/>
  <c r="S33" i="1"/>
  <c r="R75" i="1"/>
  <c r="T75" i="1"/>
  <c r="S75" i="1"/>
  <c r="C76" i="1"/>
  <c r="V32" i="1"/>
  <c r="W32" i="1" s="1"/>
  <c r="V75" i="1" l="1"/>
  <c r="U33" i="1"/>
  <c r="W33" i="1" s="1"/>
  <c r="T34" i="1"/>
  <c r="C35" i="1"/>
  <c r="S34" i="1"/>
  <c r="R34" i="1"/>
  <c r="S76" i="1"/>
  <c r="U76" i="1" s="1"/>
  <c r="R76" i="1"/>
  <c r="T76" i="1"/>
  <c r="C77" i="1"/>
  <c r="U75" i="1"/>
  <c r="W74" i="1"/>
  <c r="V76" i="1" l="1"/>
  <c r="W76" i="1" s="1"/>
  <c r="V34" i="1"/>
  <c r="U34" i="1"/>
  <c r="W34" i="1" s="1"/>
  <c r="T35" i="1"/>
  <c r="C36" i="1"/>
  <c r="R35" i="1"/>
  <c r="V35" i="1" s="1"/>
  <c r="S35" i="1"/>
  <c r="U35" i="1" s="1"/>
  <c r="W35" i="1" s="1"/>
  <c r="W75" i="1"/>
  <c r="T77" i="1"/>
  <c r="S77" i="1"/>
  <c r="R77" i="1"/>
  <c r="V77" i="1" s="1"/>
  <c r="C78" i="1"/>
  <c r="R78" i="1" l="1"/>
  <c r="S78" i="1"/>
  <c r="U78" i="1" s="1"/>
  <c r="T78" i="1"/>
  <c r="C79" i="1"/>
  <c r="U77" i="1"/>
  <c r="W77" i="1" s="1"/>
  <c r="S36" i="1"/>
  <c r="R36" i="1"/>
  <c r="V36" i="1" s="1"/>
  <c r="T36" i="1"/>
  <c r="U36" i="1" l="1"/>
  <c r="W36" i="1" s="1"/>
  <c r="R79" i="1"/>
  <c r="V79" i="1" s="1"/>
  <c r="S79" i="1"/>
  <c r="U79" i="1" s="1"/>
  <c r="W79" i="1" s="1"/>
  <c r="T79" i="1"/>
  <c r="V78" i="1"/>
  <c r="W78" i="1" s="1"/>
</calcChain>
</file>

<file path=xl/sharedStrings.xml><?xml version="1.0" encoding="utf-8"?>
<sst xmlns="http://schemas.openxmlformats.org/spreadsheetml/2006/main" count="322" uniqueCount="90">
  <si>
    <t>Field</t>
  </si>
  <si>
    <t>keVr</t>
  </si>
  <si>
    <t>Q_y (e-/keVr)</t>
  </si>
  <si>
    <t>error</t>
  </si>
  <si>
    <t>Case</t>
  </si>
  <si>
    <t>Columbia</t>
  </si>
  <si>
    <t>Xe100</t>
  </si>
  <si>
    <t>Sor'09</t>
  </si>
  <si>
    <t>Sor'10</t>
  </si>
  <si>
    <t>Xe10-S2</t>
  </si>
  <si>
    <t>Manzur</t>
  </si>
  <si>
    <t>Z-III SSR</t>
  </si>
  <si>
    <t>Y+</t>
  </si>
  <si>
    <t>Y-</t>
  </si>
  <si>
    <t>Z-III FSR</t>
  </si>
  <si>
    <t>x-</t>
  </si>
  <si>
    <t>x+</t>
  </si>
  <si>
    <t>X</t>
  </si>
  <si>
    <t>LUX Run3 DD</t>
  </si>
  <si>
    <t>neriX</t>
  </si>
  <si>
    <t>XENON1T</t>
  </si>
  <si>
    <t>Aprile 2005</t>
  </si>
  <si>
    <t>Aprile 2006</t>
  </si>
  <si>
    <t>XENON10</t>
  </si>
  <si>
    <t>PandaX</t>
  </si>
  <si>
    <t>Dahl</t>
  </si>
  <si>
    <t>GasF [kV/cm]</t>
  </si>
  <si>
    <t>LiqF [kV/cm]</t>
  </si>
  <si>
    <t>df +/- [V/cm]</t>
  </si>
  <si>
    <t>&gt;10</t>
  </si>
  <si>
    <t>~6</t>
  </si>
  <si>
    <t>~12</t>
  </si>
  <si>
    <t>Extr Assumed</t>
  </si>
  <si>
    <t>~5+</t>
  </si>
  <si>
    <t>~3</t>
  </si>
  <si>
    <t>Extr PIXeY</t>
  </si>
  <si>
    <t>&gt;0.85</t>
  </si>
  <si>
    <t>lower</t>
  </si>
  <si>
    <t>adjust-times</t>
  </si>
  <si>
    <t>EnergyCorr</t>
  </si>
  <si>
    <t>Ne-_Correct</t>
  </si>
  <si>
    <t>L_eff</t>
  </si>
  <si>
    <t>Upper</t>
  </si>
  <si>
    <t>Lower</t>
  </si>
  <si>
    <t>Shows that despite weird EEE PandaX Qy is close enough</t>
  </si>
  <si>
    <t>NEST v1 in red, NEST v2 in green (gamma)</t>
  </si>
  <si>
    <t>Source -- arXiv:1602.06563 Appendix. 400 V/cm</t>
  </si>
  <si>
    <t>Chepel 1999</t>
  </si>
  <si>
    <t>Arneodo 2000</t>
  </si>
  <si>
    <t>Akimov 2002</t>
  </si>
  <si>
    <t>Aprile 2009</t>
  </si>
  <si>
    <t>Manzur 2010</t>
  </si>
  <si>
    <t>Plante 2011</t>
  </si>
  <si>
    <t>With Chepel</t>
  </si>
  <si>
    <t>Sans Chepel.</t>
  </si>
  <si>
    <t>60 phot/keV</t>
  </si>
  <si>
    <t>68 phot/keV</t>
  </si>
  <si>
    <t>Ly (ph/keVr)</t>
  </si>
  <si>
    <t>XENON100 #2</t>
  </si>
  <si>
    <t>XENON100 #1</t>
  </si>
  <si>
    <t>Nph_Correct</t>
  </si>
  <si>
    <t>NEST v2</t>
  </si>
  <si>
    <t>Qy reference</t>
  </si>
  <si>
    <t>Z-III S2-only</t>
  </si>
  <si>
    <t>10.1103/PhysRevLett.97.081302</t>
  </si>
  <si>
    <t>http://inspirehep.net/record/1374815/files/E.Dahlthesis.pdf</t>
  </si>
  <si>
    <t>https://indico.bnl.gov/event/4908/attachments/20271/27046/181004_QingLin_XENON1T_BNLSeminar.pdf </t>
  </si>
  <si>
    <t>lower left-hand corner of slide 26</t>
  </si>
  <si>
    <t>10.1103/PhysRevLett.97.081303</t>
  </si>
  <si>
    <t>{private}</t>
  </si>
  <si>
    <t>https://arxiv.org/abs/1608.05381</t>
  </si>
  <si>
    <t>10.1103/PhysRevD.88.012006</t>
  </si>
  <si>
    <t>10.1016/j.nima.2008.12.197</t>
  </si>
  <si>
    <t>white triangles (upside-down)</t>
  </si>
  <si>
    <t>https://arxiv.org/abs/1011.6439</t>
  </si>
  <si>
    <t>10.1088/1475-7516/2010/09/033</t>
  </si>
  <si>
    <t>10.1103/PhysRevLett.107.051301</t>
  </si>
  <si>
    <t>10.1103/PhysRevC.81.025808</t>
  </si>
  <si>
    <t>10.1016/j.physletb.2011.10.038</t>
  </si>
  <si>
    <t>10.1103/PhysRevD.98.112003</t>
  </si>
  <si>
    <t>(Aprile 2011, black)</t>
  </si>
  <si>
    <t>extrapolated from: https://arxiv.org/abs/1807.01936</t>
  </si>
  <si>
    <t>find all refs in: https://arxiv.org/abs/1412.4417</t>
  </si>
  <si>
    <t>Xe1T</t>
  </si>
  <si>
    <t>https://arxiv.org/pdf/1902.11297.pdf</t>
  </si>
  <si>
    <t>Livermore</t>
  </si>
  <si>
    <t>high</t>
  </si>
  <si>
    <t>NumQuant</t>
  </si>
  <si>
    <t>https://arxiv.org/abs/1908.00518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</si>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</sst>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9"/>
      <color theme="1"/>
      <name val="CMR9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indexed="64"/>
      </patternFill>
    </fill>
  </fills>
  <borders count="1">
    <border>
      <left/>
      <right/>
      <top/>
      <bottom/>
      <diagonal/>
    </border>
  </borders>
  <cellStyleXfs count="99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5" fillId="0" borderId="0" xfId="0" applyFont="1"/>
    <xf numFmtId="0" fontId="5" fillId="0" borderId="0" xfId="0" applyFont="1" applyFill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NumberFormat="1" applyFont="1" applyFill="1"/>
    <xf numFmtId="0" fontId="5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1" fillId="3" borderId="0" xfId="0" applyFont="1" applyFill="1" applyAlignment="1">
      <alignment horizontal="right" vertical="center"/>
    </xf>
    <xf numFmtId="0" fontId="5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vertical="center"/>
    </xf>
    <xf numFmtId="0" fontId="6" fillId="3" borderId="0" xfId="0" applyFont="1" applyFill="1" applyAlignment="1">
      <alignment horizontal="right"/>
    </xf>
    <xf numFmtId="0" fontId="5" fillId="3" borderId="0" xfId="0" applyNumberFormat="1" applyFont="1" applyFill="1"/>
    <xf numFmtId="0" fontId="2" fillId="3" borderId="0" xfId="0" applyNumberFormat="1" applyFont="1" applyFill="1" applyAlignment="1">
      <alignment horizontal="right" vertical="center"/>
    </xf>
    <xf numFmtId="0" fontId="7" fillId="3" borderId="0" xfId="0" applyFont="1" applyFill="1"/>
    <xf numFmtId="0" fontId="8" fillId="0" borderId="0" xfId="0" applyFont="1" applyFill="1"/>
    <xf numFmtId="0" fontId="2" fillId="4" borderId="0" xfId="0" applyFont="1" applyFill="1" applyAlignment="1">
      <alignment horizontal="right" vertical="center"/>
    </xf>
    <xf numFmtId="0" fontId="0" fillId="0" borderId="0" xfId="0" applyFill="1"/>
    <xf numFmtId="0" fontId="9" fillId="0" borderId="0" xfId="0" applyFont="1" applyFill="1"/>
    <xf numFmtId="0" fontId="10" fillId="0" borderId="0" xfId="0" applyFont="1"/>
    <xf numFmtId="0" fontId="0" fillId="5" borderId="0" xfId="0" applyNumberFormat="1" applyFill="1"/>
    <xf numFmtId="0" fontId="2" fillId="5" borderId="0" xfId="0" applyNumberFormat="1" applyFont="1" applyFill="1" applyAlignment="1">
      <alignment horizontal="righ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0" borderId="0" xfId="0" applyNumberFormat="1"/>
    <xf numFmtId="0" fontId="12" fillId="0" borderId="0" xfId="0" applyFont="1" applyFill="1"/>
    <xf numFmtId="0" fontId="12" fillId="0" borderId="0" xfId="0" applyFont="1" applyFill="1" applyAlignment="1">
      <alignment horizontal="right"/>
    </xf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11" borderId="0" xfId="0" applyFont="1" applyFill="1" applyAlignment="1">
      <alignment horizontal="right" vertical="center"/>
    </xf>
    <xf numFmtId="0" fontId="5" fillId="11" borderId="0" xfId="0" applyFont="1" applyFill="1"/>
    <xf numFmtId="0" fontId="2" fillId="11" borderId="0" xfId="0" applyFont="1" applyFill="1" applyAlignment="1">
      <alignment horizontal="right" vertical="center"/>
    </xf>
    <xf numFmtId="0" fontId="0" fillId="11" borderId="0" xfId="0" applyFill="1"/>
    <xf numFmtId="0" fontId="12" fillId="11" borderId="0" xfId="0" applyFont="1" applyFill="1"/>
    <xf numFmtId="0" fontId="1" fillId="11" borderId="0" xfId="0" applyFont="1" applyFill="1" applyAlignment="1">
      <alignment horizontal="right" vertical="center"/>
    </xf>
    <xf numFmtId="0" fontId="15" fillId="11" borderId="0" xfId="0" applyFont="1" applyFill="1"/>
    <xf numFmtId="0" fontId="12" fillId="11" borderId="0" xfId="0" applyFont="1" applyFill="1" applyAlignment="1">
      <alignment horizontal="right"/>
    </xf>
    <xf numFmtId="0" fontId="15" fillId="0" borderId="0" xfId="0" applyFont="1" applyFill="1"/>
    <xf numFmtId="11" fontId="0" fillId="0" borderId="0" xfId="0" applyNumberFormat="1" applyFill="1"/>
    <xf numFmtId="0" fontId="14" fillId="0" borderId="0" xfId="0" applyFont="1" applyFill="1"/>
    <xf numFmtId="0" fontId="0" fillId="0" borderId="0" xfId="0" applyFont="1" applyFill="1"/>
    <xf numFmtId="0" fontId="17" fillId="0" borderId="0" xfId="0" applyFont="1" applyFill="1"/>
    <xf numFmtId="0" fontId="0" fillId="0" borderId="0" xfId="0" quotePrefix="1" applyFill="1"/>
    <xf numFmtId="0" fontId="7" fillId="0" borderId="0" xfId="0" applyFont="1" applyFill="1"/>
    <xf numFmtId="0" fontId="3" fillId="0" borderId="0" xfId="9785"/>
    <xf numFmtId="0" fontId="3" fillId="0" borderId="0" xfId="9785" applyFill="1"/>
    <xf numFmtId="0" fontId="3" fillId="3" borderId="0" xfId="9785" applyFill="1" applyAlignment="1">
      <alignment horizontal="right" vertical="center"/>
    </xf>
    <xf numFmtId="0" fontId="6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right" vertical="center"/>
    </xf>
    <xf numFmtId="0" fontId="3" fillId="2" borderId="0" xfId="9785" applyFill="1"/>
    <xf numFmtId="0" fontId="5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/>
    <xf numFmtId="0" fontId="12" fillId="2" borderId="0" xfId="0" applyFont="1" applyFill="1"/>
    <xf numFmtId="0" fontId="2" fillId="12" borderId="0" xfId="0" applyFont="1" applyFill="1" applyAlignment="1">
      <alignment horizontal="right" vertical="center"/>
    </xf>
    <xf numFmtId="2" fontId="0" fillId="0" borderId="0" xfId="0" applyNumberFormat="1" applyFill="1"/>
    <xf numFmtId="0" fontId="10" fillId="0" borderId="0" xfId="0" applyFont="1" applyFill="1"/>
    <xf numFmtId="0" fontId="11" fillId="0" borderId="0" xfId="0" applyFont="1" applyFill="1"/>
    <xf numFmtId="0" fontId="18" fillId="0" borderId="0" xfId="0" applyFont="1" applyFill="1"/>
  </cellXfs>
  <cellStyles count="99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7" builtinId="9" hidden="1"/>
    <cellStyle name="Followed Hyperlink" xfId="9788" builtinId="9" hidden="1"/>
    <cellStyle name="Followed Hyperlink" xfId="9789" builtinId="9" hidden="1"/>
    <cellStyle name="Followed Hyperlink" xfId="9790" builtinId="9" hidden="1"/>
    <cellStyle name="Followed Hyperlink" xfId="9791" builtinId="9" hidden="1"/>
    <cellStyle name="Followed Hyperlink" xfId="9792" builtinId="9" hidden="1"/>
    <cellStyle name="Followed Hyperlink" xfId="9793" builtinId="9" hidden="1"/>
    <cellStyle name="Followed Hyperlink" xfId="9794" builtinId="9" hidden="1"/>
    <cellStyle name="Followed Hyperlink" xfId="9795" builtinId="9" hidden="1"/>
    <cellStyle name="Followed Hyperlink" xfId="9796" builtinId="9" hidden="1"/>
    <cellStyle name="Followed Hyperlink" xfId="9797" builtinId="9" hidden="1"/>
    <cellStyle name="Followed Hyperlink" xfId="9798" builtinId="9" hidden="1"/>
    <cellStyle name="Followed Hyperlink" xfId="9799" builtinId="9" hidden="1"/>
    <cellStyle name="Followed Hyperlink" xfId="9800" builtinId="9" hidden="1"/>
    <cellStyle name="Followed Hyperlink" xfId="9801" builtinId="9" hidden="1"/>
    <cellStyle name="Followed Hyperlink" xfId="9802" builtinId="9" hidden="1"/>
    <cellStyle name="Followed Hyperlink" xfId="9803" builtinId="9" hidden="1"/>
    <cellStyle name="Followed Hyperlink" xfId="9804" builtinId="9" hidden="1"/>
    <cellStyle name="Followed Hyperlink" xfId="9805" builtinId="9" hidden="1"/>
    <cellStyle name="Followed Hyperlink" xfId="9806" builtinId="9" hidden="1"/>
    <cellStyle name="Followed Hyperlink" xfId="9807" builtinId="9" hidden="1"/>
    <cellStyle name="Followed Hyperlink" xfId="9808" builtinId="9" hidden="1"/>
    <cellStyle name="Followed Hyperlink" xfId="9809" builtinId="9" hidden="1"/>
    <cellStyle name="Followed Hyperlink" xfId="9810" builtinId="9" hidden="1"/>
    <cellStyle name="Followed Hyperlink" xfId="9811" builtinId="9" hidden="1"/>
    <cellStyle name="Followed Hyperlink" xfId="9812" builtinId="9" hidden="1"/>
    <cellStyle name="Followed Hyperlink" xfId="9813" builtinId="9" hidden="1"/>
    <cellStyle name="Followed Hyperlink" xfId="9814" builtinId="9" hidden="1"/>
    <cellStyle name="Followed Hyperlink" xfId="9815" builtinId="9" hidden="1"/>
    <cellStyle name="Followed Hyperlink" xfId="9816" builtinId="9" hidden="1"/>
    <cellStyle name="Followed Hyperlink" xfId="9817" builtinId="9" hidden="1"/>
    <cellStyle name="Followed Hyperlink" xfId="9818" builtinId="9" hidden="1"/>
    <cellStyle name="Followed Hyperlink" xfId="9819" builtinId="9" hidden="1"/>
    <cellStyle name="Followed Hyperlink" xfId="9820" builtinId="9" hidden="1"/>
    <cellStyle name="Followed Hyperlink" xfId="9821" builtinId="9" hidden="1"/>
    <cellStyle name="Followed Hyperlink" xfId="9822" builtinId="9" hidden="1"/>
    <cellStyle name="Followed Hyperlink" xfId="9823" builtinId="9" hidden="1"/>
    <cellStyle name="Followed Hyperlink" xfId="9824" builtinId="9" hidden="1"/>
    <cellStyle name="Followed Hyperlink" xfId="9825" builtinId="9" hidden="1"/>
    <cellStyle name="Followed Hyperlink" xfId="9826" builtinId="9" hidden="1"/>
    <cellStyle name="Followed Hyperlink" xfId="9827" builtinId="9" hidden="1"/>
    <cellStyle name="Followed Hyperlink" xfId="9828" builtinId="9" hidden="1"/>
    <cellStyle name="Followed Hyperlink" xfId="9829" builtinId="9" hidden="1"/>
    <cellStyle name="Followed Hyperlink" xfId="9830" builtinId="9" hidden="1"/>
    <cellStyle name="Followed Hyperlink" xfId="9831" builtinId="9" hidden="1"/>
    <cellStyle name="Followed Hyperlink" xfId="9832" builtinId="9" hidden="1"/>
    <cellStyle name="Followed Hyperlink" xfId="9833" builtinId="9" hidden="1"/>
    <cellStyle name="Followed Hyperlink" xfId="9834" builtinId="9" hidden="1"/>
    <cellStyle name="Followed Hyperlink" xfId="9835" builtinId="9" hidden="1"/>
    <cellStyle name="Followed Hyperlink" xfId="9836" builtinId="9" hidden="1"/>
    <cellStyle name="Followed Hyperlink" xfId="9837" builtinId="9" hidden="1"/>
    <cellStyle name="Followed Hyperlink" xfId="9838" builtinId="9" hidden="1"/>
    <cellStyle name="Followed Hyperlink" xfId="9839" builtinId="9" hidden="1"/>
    <cellStyle name="Followed Hyperlink" xfId="9840" builtinId="9" hidden="1"/>
    <cellStyle name="Followed Hyperlink" xfId="9841" builtinId="9" hidden="1"/>
    <cellStyle name="Followed Hyperlink" xfId="9842" builtinId="9" hidden="1"/>
    <cellStyle name="Followed Hyperlink" xfId="9843" builtinId="9" hidden="1"/>
    <cellStyle name="Followed Hyperlink" xfId="9844" builtinId="9" hidden="1"/>
    <cellStyle name="Followed Hyperlink" xfId="9845" builtinId="9" hidden="1"/>
    <cellStyle name="Followed Hyperlink" xfId="9846" builtinId="9" hidden="1"/>
    <cellStyle name="Followed Hyperlink" xfId="9847" builtinId="9" hidden="1"/>
    <cellStyle name="Followed Hyperlink" xfId="9848" builtinId="9" hidden="1"/>
    <cellStyle name="Followed Hyperlink" xfId="9849" builtinId="9" hidden="1"/>
    <cellStyle name="Followed Hyperlink" xfId="9850" builtinId="9" hidden="1"/>
    <cellStyle name="Followed Hyperlink" xfId="9851" builtinId="9" hidden="1"/>
    <cellStyle name="Followed Hyperlink" xfId="9852" builtinId="9" hidden="1"/>
    <cellStyle name="Followed Hyperlink" xfId="9853" builtinId="9" hidden="1"/>
    <cellStyle name="Followed Hyperlink" xfId="9854" builtinId="9" hidden="1"/>
    <cellStyle name="Followed Hyperlink" xfId="9855" builtinId="9" hidden="1"/>
    <cellStyle name="Followed Hyperlink" xfId="9856" builtinId="9" hidden="1"/>
    <cellStyle name="Followed Hyperlink" xfId="9857" builtinId="9" hidden="1"/>
    <cellStyle name="Followed Hyperlink" xfId="9858" builtinId="9" hidden="1"/>
    <cellStyle name="Followed Hyperlink" xfId="9859" builtinId="9" hidden="1"/>
    <cellStyle name="Followed Hyperlink" xfId="9860" builtinId="9" hidden="1"/>
    <cellStyle name="Followed Hyperlink" xfId="9861" builtinId="9" hidden="1"/>
    <cellStyle name="Followed Hyperlink" xfId="9862" builtinId="9" hidden="1"/>
    <cellStyle name="Followed Hyperlink" xfId="9863" builtinId="9" hidden="1"/>
    <cellStyle name="Followed Hyperlink" xfId="9864" builtinId="9" hidden="1"/>
    <cellStyle name="Followed Hyperlink" xfId="9865" builtinId="9" hidden="1"/>
    <cellStyle name="Followed Hyperlink" xfId="9866" builtinId="9" hidden="1"/>
    <cellStyle name="Followed Hyperlink" xfId="9867" builtinId="9" hidden="1"/>
    <cellStyle name="Followed Hyperlink" xfId="9868" builtinId="9" hidden="1"/>
    <cellStyle name="Followed Hyperlink" xfId="9869" builtinId="9" hidden="1"/>
    <cellStyle name="Followed Hyperlink" xfId="9870" builtinId="9" hidden="1"/>
    <cellStyle name="Followed Hyperlink" xfId="9871" builtinId="9" hidden="1"/>
    <cellStyle name="Followed Hyperlink" xfId="9872" builtinId="9" hidden="1"/>
    <cellStyle name="Followed Hyperlink" xfId="9873" builtinId="9" hidden="1"/>
    <cellStyle name="Followed Hyperlink" xfId="9874" builtinId="9" hidden="1"/>
    <cellStyle name="Followed Hyperlink" xfId="9875" builtinId="9" hidden="1"/>
    <cellStyle name="Followed Hyperlink" xfId="9876" builtinId="9" hidden="1"/>
    <cellStyle name="Followed Hyperlink" xfId="9877" builtinId="9" hidden="1"/>
    <cellStyle name="Followed Hyperlink" xfId="9878" builtinId="9" hidden="1"/>
    <cellStyle name="Followed Hyperlink" xfId="9879" builtinId="9" hidden="1"/>
    <cellStyle name="Followed Hyperlink" xfId="9880" builtinId="9" hidden="1"/>
    <cellStyle name="Followed Hyperlink" xfId="9881" builtinId="9" hidden="1"/>
    <cellStyle name="Followed Hyperlink" xfId="9882" builtinId="9" hidden="1"/>
    <cellStyle name="Followed Hyperlink" xfId="9883" builtinId="9" hidden="1"/>
    <cellStyle name="Followed Hyperlink" xfId="9884" builtinId="9" hidden="1"/>
    <cellStyle name="Followed Hyperlink" xfId="9885" builtinId="9" hidden="1"/>
    <cellStyle name="Followed Hyperlink" xfId="9886" builtinId="9" hidden="1"/>
    <cellStyle name="Followed Hyperlink" xfId="9887" builtinId="9" hidden="1"/>
    <cellStyle name="Followed Hyperlink" xfId="9888" builtinId="9" hidden="1"/>
    <cellStyle name="Followed Hyperlink" xfId="9889" builtinId="9" hidden="1"/>
    <cellStyle name="Followed Hyperlink" xfId="9890" builtinId="9" hidden="1"/>
    <cellStyle name="Followed Hyperlink" xfId="9891" builtinId="9" hidden="1"/>
    <cellStyle name="Followed Hyperlink" xfId="9892" builtinId="9" hidden="1"/>
    <cellStyle name="Followed Hyperlink" xfId="9893" builtinId="9" hidden="1"/>
    <cellStyle name="Followed Hyperlink" xfId="9894" builtinId="9" hidden="1"/>
    <cellStyle name="Followed Hyperlink" xfId="9895" builtinId="9" hidden="1"/>
    <cellStyle name="Followed Hyperlink" xfId="9896" builtinId="9" hidden="1"/>
    <cellStyle name="Followed Hyperlink" xfId="9897" builtinId="9" hidden="1"/>
    <cellStyle name="Followed Hyperlink" xfId="9898" builtinId="9" hidden="1"/>
    <cellStyle name="Followed Hyperlink" xfId="9899" builtinId="9" hidden="1"/>
    <cellStyle name="Followed Hyperlink" xfId="9900" builtinId="9" hidden="1"/>
    <cellStyle name="Followed Hyperlink" xfId="9901" builtinId="9" hidden="1"/>
    <cellStyle name="Followed Hyperlink" xfId="9902" builtinId="9" hidden="1"/>
    <cellStyle name="Followed Hyperlink" xfId="9903" builtinId="9" hidden="1"/>
    <cellStyle name="Followed Hyperlink" xfId="9904" builtinId="9" hidden="1"/>
    <cellStyle name="Followed Hyperlink" xfId="9905" builtinId="9" hidden="1"/>
    <cellStyle name="Followed Hyperlink" xfId="9906" builtinId="9" hidden="1"/>
    <cellStyle name="Followed Hyperlink" xfId="9907" builtinId="9" hidden="1"/>
    <cellStyle name="Followed Hyperlink" xfId="9908" builtinId="9" hidden="1"/>
    <cellStyle name="Followed Hyperlink" xfId="9909" builtinId="9" hidden="1"/>
    <cellStyle name="Followed Hyperlink" xfId="9910" builtinId="9" hidden="1"/>
    <cellStyle name="Followed Hyperlink" xfId="9911" builtinId="9" hidden="1"/>
    <cellStyle name="Followed Hyperlink" xfId="9912" builtinId="9" hidden="1"/>
    <cellStyle name="Followed Hyperlink" xfId="9913" builtinId="9" hidden="1"/>
    <cellStyle name="Followed Hyperlink" xfId="9914" builtinId="9" hidden="1"/>
    <cellStyle name="Followed Hyperlink" xfId="9915" builtinId="9" hidden="1"/>
    <cellStyle name="Followed Hyperlink" xfId="9916" builtinId="9" hidden="1"/>
    <cellStyle name="Followed Hyperlink" xfId="9917" builtinId="9" hidden="1"/>
    <cellStyle name="Followed Hyperlink" xfId="9918" builtinId="9" hidden="1"/>
    <cellStyle name="Followed Hyperlink" xfId="9919" builtinId="9" hidden="1"/>
    <cellStyle name="Followed Hyperlink" xfId="9920" builtinId="9" hidden="1"/>
    <cellStyle name="Followed Hyperlink" xfId="9921" builtinId="9" hidden="1"/>
    <cellStyle name="Followed Hyperlink" xfId="9922" builtinId="9" hidden="1"/>
    <cellStyle name="Followed Hyperlink" xfId="9923" builtinId="9" hidden="1"/>
    <cellStyle name="Followed Hyperlink" xfId="9924" builtinId="9" hidden="1"/>
    <cellStyle name="Followed Hyperlink" xfId="9925" builtinId="9" hidden="1"/>
    <cellStyle name="Followed Hyperlink" xfId="9926" builtinId="9" hidden="1"/>
    <cellStyle name="Followed Hyperlink" xfId="9927" builtinId="9" hidden="1"/>
    <cellStyle name="Followed Hyperlink" xfId="9928" builtinId="9" hidden="1"/>
    <cellStyle name="Followed Hyperlink" xfId="9929" builtinId="9" hidden="1"/>
    <cellStyle name="Followed Hyperlink" xfId="9930" builtinId="9" hidden="1"/>
    <cellStyle name="Followed Hyperlink" xfId="9931" builtinId="9" hidden="1"/>
    <cellStyle name="Followed Hyperlink" xfId="9932" builtinId="9" hidden="1"/>
    <cellStyle name="Followed Hyperlink" xfId="9933" builtinId="9" hidden="1"/>
    <cellStyle name="Followed Hyperlink" xfId="9934" builtinId="9" hidden="1"/>
    <cellStyle name="Followed Hyperlink" xfId="9935" builtinId="9" hidden="1"/>
    <cellStyle name="Followed Hyperlink" xfId="9936" builtinId="9" hidden="1"/>
    <cellStyle name="Followed Hyperlink" xfId="9937" builtinId="9" hidden="1"/>
    <cellStyle name="Followed Hyperlink" xfId="9938" builtinId="9" hidden="1"/>
    <cellStyle name="Followed Hyperlink" xfId="9939" builtinId="9" hidden="1"/>
    <cellStyle name="Followed Hyperlink" xfId="9940" builtinId="9" hidden="1"/>
    <cellStyle name="Followed Hyperlink" xfId="9941" builtinId="9" hidden="1"/>
    <cellStyle name="Followed Hyperlink" xfId="9942" builtinId="9" hidden="1"/>
    <cellStyle name="Followed Hyperlink" xfId="9943" builtinId="9" hidden="1"/>
    <cellStyle name="Followed Hyperlink" xfId="9944" builtinId="9" hidden="1"/>
    <cellStyle name="Followed Hyperlink" xfId="9945" builtinId="9" hidden="1"/>
    <cellStyle name="Followed Hyperlink" xfId="9946" builtinId="9" hidden="1"/>
    <cellStyle name="Followed Hyperlink" xfId="9947" builtinId="9" hidden="1"/>
    <cellStyle name="Followed Hyperlink" xfId="9948" builtinId="9" hidden="1"/>
    <cellStyle name="Followed Hyperlink" xfId="9949" builtinId="9" hidden="1"/>
    <cellStyle name="Followed Hyperlink" xfId="9950" builtinId="9" hidden="1"/>
    <cellStyle name="Followed Hyperlink" xfId="9951" builtinId="9" hidden="1"/>
    <cellStyle name="Followed Hyperlink" xfId="9952" builtinId="9" hidden="1"/>
    <cellStyle name="Followed Hyperlink" xfId="9953" builtinId="9" hidden="1"/>
    <cellStyle name="Followed Hyperlink" xfId="9954" builtinId="9" hidden="1"/>
    <cellStyle name="Followed Hyperlink" xfId="9955" builtinId="9" hidden="1"/>
    <cellStyle name="Followed Hyperlink" xfId="9956" builtinId="9" hidden="1"/>
    <cellStyle name="Followed Hyperlink" xfId="9957" builtinId="9" hidden="1"/>
    <cellStyle name="Followed Hyperlink" xfId="9958" builtinId="9" hidden="1"/>
    <cellStyle name="Followed Hyperlink" xfId="9959" builtinId="9" hidden="1"/>
    <cellStyle name="Followed Hyperlink" xfId="9960" builtinId="9" hidden="1"/>
    <cellStyle name="Followed Hyperlink" xfId="9961" builtinId="9" hidden="1"/>
    <cellStyle name="Followed Hyperlink" xfId="9962" builtinId="9" hidden="1"/>
    <cellStyle name="Followed Hyperlink" xfId="9963" builtinId="9" hidden="1"/>
    <cellStyle name="Followed Hyperlink" xfId="9964" builtinId="9" hidden="1"/>
    <cellStyle name="Followed Hyperlink" xfId="9965" builtinId="9" hidden="1"/>
    <cellStyle name="Followed Hyperlink" xfId="9966" builtinId="9" hidden="1"/>
    <cellStyle name="Followed Hyperlink" xfId="9967" builtinId="9" hidden="1"/>
    <cellStyle name="Followed Hyperlink" xfId="9968" builtinId="9" hidden="1"/>
    <cellStyle name="Followed Hyperlink" xfId="9969" builtinId="9" hidden="1"/>
    <cellStyle name="Followed Hyperlink" xfId="9970" builtinId="9" hidden="1"/>
    <cellStyle name="Followed Hyperlink" xfId="9971" builtinId="9" hidden="1"/>
    <cellStyle name="Followed Hyperlink" xfId="9972" builtinId="9" hidden="1"/>
    <cellStyle name="Followed Hyperlink" xfId="9973" builtinId="9" hidden="1"/>
    <cellStyle name="Followed Hyperlink" xfId="9974" builtinId="9" hidden="1"/>
    <cellStyle name="Followed Hyperlink" xfId="9975" builtinId="9" hidden="1"/>
    <cellStyle name="Followed Hyperlink" xfId="9976" builtinId="9" hidden="1"/>
    <cellStyle name="Followed Hyperlink" xfId="9977" builtinId="9" hidden="1"/>
    <cellStyle name="Followed Hyperlink" xfId="9978" builtinId="9" hidden="1"/>
    <cellStyle name="Followed Hyperlink" xfId="9979" builtinId="9" hidden="1"/>
    <cellStyle name="Followed Hyperlink" xfId="9980" builtinId="9" hidden="1"/>
    <cellStyle name="Followed Hyperlink" xfId="99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Qy!$BJ$52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Qy!$BF$53:$BF$74</c:f>
              <c:numCache>
                <c:formatCode>General</c:formatCode>
                <c:ptCount val="22"/>
              </c:numCache>
            </c:numRef>
          </c:xVal>
          <c:yVal>
            <c:numRef>
              <c:f>Qy!$BJ$53:$BJ$74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8-B74B-BFF0-CE1F53F3FEDA}"/>
            </c:ext>
          </c:extLst>
        </c:ser>
        <c:ser>
          <c:idx val="1"/>
          <c:order val="1"/>
          <c:tx>
            <c:strRef>
              <c:f>Qy!$BL$52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Qy!$BF$53:$BF$74</c:f>
              <c:numCache>
                <c:formatCode>General</c:formatCode>
                <c:ptCount val="22"/>
              </c:numCache>
            </c:numRef>
          </c:xVal>
          <c:yVal>
            <c:numRef>
              <c:f>Qy!$BL$53:$BL$74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8-B74B-BFF0-CE1F53F3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83944"/>
        <c:axId val="2089653032"/>
      </c:scatterChart>
      <c:valAx>
        <c:axId val="208958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653032"/>
        <c:crosses val="autoZero"/>
        <c:crossBetween val="midCat"/>
      </c:valAx>
      <c:valAx>
        <c:axId val="2089653032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8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Qy!$BO$52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Qy!$BM$53:$BM$57</c:f>
              <c:numCache>
                <c:formatCode>General</c:formatCode>
                <c:ptCount val="5"/>
              </c:numCache>
            </c:numRef>
          </c:xVal>
          <c:yVal>
            <c:numRef>
              <c:f>Qy!$BO$53:$BO$57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3-1949-A35F-50888C96FF55}"/>
            </c:ext>
          </c:extLst>
        </c:ser>
        <c:ser>
          <c:idx val="1"/>
          <c:order val="1"/>
          <c:tx>
            <c:strRef>
              <c:f>Qy!$BP$52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Qy!$BM$53:$BM$57</c:f>
              <c:numCache>
                <c:formatCode>General</c:formatCode>
                <c:ptCount val="5"/>
              </c:numCache>
            </c:numRef>
          </c:xVal>
          <c:yVal>
            <c:numRef>
              <c:f>Qy!$BP$53:$BP$57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3-1949-A35F-50888C96FF55}"/>
            </c:ext>
          </c:extLst>
        </c:ser>
        <c:ser>
          <c:idx val="2"/>
          <c:order val="2"/>
          <c:tx>
            <c:strRef>
              <c:f>Qy!$BQ$52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Qy!$BM$53:$BM$57</c:f>
              <c:numCache>
                <c:formatCode>General</c:formatCode>
                <c:ptCount val="5"/>
              </c:numCache>
            </c:numRef>
          </c:xVal>
          <c:yVal>
            <c:numRef>
              <c:f>Qy!$BQ$53:$BQ$57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3-1949-A35F-50888C96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87112"/>
        <c:axId val="2075343992"/>
      </c:scatterChart>
      <c:valAx>
        <c:axId val="203138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343992"/>
        <c:crosses val="autoZero"/>
        <c:crossBetween val="midCat"/>
      </c:valAx>
      <c:valAx>
        <c:axId val="207534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387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Qy!$BQ$52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Qy!$BM$53:$BM$57</c:f>
              <c:numCache>
                <c:formatCode>General</c:formatCode>
                <c:ptCount val="5"/>
              </c:numCache>
            </c:numRef>
          </c:xVal>
          <c:yVal>
            <c:numRef>
              <c:f>Qy!$BQ$53:$BQ$57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9-B140-88CE-2F6A0E010311}"/>
            </c:ext>
          </c:extLst>
        </c:ser>
        <c:ser>
          <c:idx val="1"/>
          <c:order val="1"/>
          <c:tx>
            <c:strRef>
              <c:f>Qy!$BR$52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Qy!$BM$53:$BM$57</c:f>
              <c:numCache>
                <c:formatCode>General</c:formatCode>
                <c:ptCount val="5"/>
              </c:numCache>
            </c:numRef>
          </c:xVal>
          <c:yVal>
            <c:numRef>
              <c:f>Qy!$BR$53:$BR$57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9-B140-88CE-2F6A0E010311}"/>
            </c:ext>
          </c:extLst>
        </c:ser>
        <c:ser>
          <c:idx val="2"/>
          <c:order val="2"/>
          <c:tx>
            <c:strRef>
              <c:f>Qy!$BS$52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Qy!$BM$53:$BM$57</c:f>
              <c:numCache>
                <c:formatCode>General</c:formatCode>
                <c:ptCount val="5"/>
              </c:numCache>
            </c:numRef>
          </c:xVal>
          <c:yVal>
            <c:numRef>
              <c:f>Qy!$BS$53:$BS$57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9-B140-88CE-2F6A0E01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75464"/>
        <c:axId val="2089398520"/>
      </c:scatterChart>
      <c:valAx>
        <c:axId val="208947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398520"/>
        <c:crosses val="autoZero"/>
        <c:crossBetween val="midCat"/>
      </c:valAx>
      <c:valAx>
        <c:axId val="208939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75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Ly!$AO$48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Ly!$AL$49:$AL$54</c:f>
              <c:numCache>
                <c:formatCode>General</c:formatCode>
                <c:ptCount val="6"/>
              </c:numCache>
            </c:numRef>
          </c:xVal>
          <c:yVal>
            <c:numRef>
              <c:f>Ly!$AO$49:$AO$54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0-194A-8FA2-766906F80638}"/>
            </c:ext>
          </c:extLst>
        </c:ser>
        <c:ser>
          <c:idx val="1"/>
          <c:order val="1"/>
          <c:tx>
            <c:strRef>
              <c:f>Ly!$AU$48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Ly!$AL$49:$AL$54</c:f>
              <c:numCache>
                <c:formatCode>General</c:formatCode>
                <c:ptCount val="6"/>
              </c:numCache>
            </c:numRef>
          </c:xVal>
          <c:yVal>
            <c:numRef>
              <c:f>Ly!$AU$49:$AU$54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0-194A-8FA2-766906F8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39720"/>
        <c:axId val="2091342712"/>
      </c:scatterChart>
      <c:valAx>
        <c:axId val="209133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342712"/>
        <c:crosses val="autoZero"/>
        <c:crossBetween val="midCat"/>
      </c:valAx>
      <c:valAx>
        <c:axId val="2091342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1339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Ly!$AN$70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Ly!$AM$71:$AM$361</c:f>
              <c:numCache>
                <c:formatCode>General</c:formatCode>
                <c:ptCount val="291"/>
              </c:numCache>
            </c:numRef>
          </c:xVal>
          <c:yVal>
            <c:numRef>
              <c:f>Ly!$AN$71:$AN$361</c:f>
              <c:numCache>
                <c:formatCode>General</c:formatCode>
                <c:ptCount val="2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5-7F41-AF38-D0BE216E576E}"/>
            </c:ext>
          </c:extLst>
        </c:ser>
        <c:ser>
          <c:idx val="1"/>
          <c:order val="1"/>
          <c:tx>
            <c:strRef>
              <c:f>Ly!$AT$70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Ly!$AM$71:$AM$361</c:f>
              <c:numCache>
                <c:formatCode>General</c:formatCode>
                <c:ptCount val="291"/>
              </c:numCache>
            </c:numRef>
          </c:xVal>
          <c:yVal>
            <c:numRef>
              <c:f>Ly!$AT$71:$AT$361</c:f>
              <c:numCache>
                <c:formatCode>General</c:formatCode>
                <c:ptCount val="2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5-7F41-AF38-D0BE216E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66808"/>
        <c:axId val="2090269800"/>
      </c:scatterChart>
      <c:valAx>
        <c:axId val="20902668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269800"/>
        <c:crosses val="autoZero"/>
        <c:crossBetween val="midCat"/>
      </c:valAx>
      <c:valAx>
        <c:axId val="209026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266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Ly!$AP$70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Ly!$AM$71:$AM$361</c:f>
              <c:numCache>
                <c:formatCode>General</c:formatCode>
                <c:ptCount val="291"/>
              </c:numCache>
            </c:numRef>
          </c:xVal>
          <c:yVal>
            <c:numRef>
              <c:f>Ly!$AP$71:$AP$361</c:f>
              <c:numCache>
                <c:formatCode>General</c:formatCode>
                <c:ptCount val="2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F-F945-A057-B9C9E3F3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00312"/>
        <c:axId val="2090303336"/>
      </c:scatterChart>
      <c:valAx>
        <c:axId val="2090300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303336"/>
        <c:crosses val="autoZero"/>
        <c:crossBetween val="midCat"/>
      </c:valAx>
      <c:valAx>
        <c:axId val="20903033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00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Ly!$AO$70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Ly!$AM$71:$AM$361</c:f>
              <c:numCache>
                <c:formatCode>General</c:formatCode>
                <c:ptCount val="291"/>
              </c:numCache>
            </c:numRef>
          </c:xVal>
          <c:yVal>
            <c:numRef>
              <c:f>Ly!$AO$71:$AO$361</c:f>
              <c:numCache>
                <c:formatCode>General</c:formatCode>
                <c:ptCount val="2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4-864E-8F7A-BDEB733FF2F4}"/>
            </c:ext>
          </c:extLst>
        </c:ser>
        <c:ser>
          <c:idx val="1"/>
          <c:order val="1"/>
          <c:tx>
            <c:strRef>
              <c:f>Ly!$BC$70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Ly!$AM$71:$AM$361</c:f>
              <c:numCache>
                <c:formatCode>General</c:formatCode>
                <c:ptCount val="291"/>
              </c:numCache>
            </c:numRef>
          </c:xVal>
          <c:yVal>
            <c:numRef>
              <c:f>Ly!$BC$71:$BC$361</c:f>
              <c:numCache>
                <c:formatCode>General</c:formatCode>
                <c:ptCount val="2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4-864E-8F7A-BDEB733F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93000"/>
        <c:axId val="2071262664"/>
      </c:scatterChart>
      <c:valAx>
        <c:axId val="20713930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262664"/>
        <c:crosses val="autoZero"/>
        <c:crossBetween val="midCat"/>
      </c:valAx>
      <c:valAx>
        <c:axId val="20712626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39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4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213587</xdr:colOff>
      <xdr:row>80</xdr:row>
      <xdr:rowOff>63500</xdr:rowOff>
    </xdr:from>
    <xdr:to>
      <xdr:col>10</xdr:col>
      <xdr:colOff>168266</xdr:colOff>
      <xdr:row>95</xdr:row>
      <xdr:rowOff>38100</xdr:rowOff>
    </xdr:to>
    <xdr:pic>
      <xdr:nvPicPr>
        <xdr:cNvPr id="3" name="Picture 2" descr="PandaX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1087" y="12065000"/>
          <a:ext cx="4082179" cy="2832100"/>
        </a:xfrm>
        <a:prstGeom prst="rect">
          <a:avLst/>
        </a:prstGeom>
      </xdr:spPr>
    </xdr:pic>
    <xdr:clientData/>
  </xdr:twoCellAnchor>
  <xdr:twoCellAnchor>
    <xdr:from>
      <xdr:col>56</xdr:col>
      <xdr:colOff>571500</xdr:colOff>
      <xdr:row>77</xdr:row>
      <xdr:rowOff>12700</xdr:rowOff>
    </xdr:from>
    <xdr:to>
      <xdr:col>66</xdr:col>
      <xdr:colOff>711200</xdr:colOff>
      <xdr:row>92</xdr:row>
      <xdr:rowOff>63500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292100</xdr:colOff>
      <xdr:row>58</xdr:row>
      <xdr:rowOff>63500</xdr:rowOff>
    </xdr:from>
    <xdr:to>
      <xdr:col>73</xdr:col>
      <xdr:colOff>673100</xdr:colOff>
      <xdr:row>86</xdr:row>
      <xdr:rowOff>63500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520700</xdr:colOff>
      <xdr:row>69</xdr:row>
      <xdr:rowOff>63500</xdr:rowOff>
    </xdr:from>
    <xdr:to>
      <xdr:col>74</xdr:col>
      <xdr:colOff>304800</xdr:colOff>
      <xdr:row>86</xdr:row>
      <xdr:rowOff>165100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292100</xdr:colOff>
      <xdr:row>54</xdr:row>
      <xdr:rowOff>88900</xdr:rowOff>
    </xdr:from>
    <xdr:to>
      <xdr:col>46</xdr:col>
      <xdr:colOff>533400</xdr:colOff>
      <xdr:row>67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622300</xdr:colOff>
      <xdr:row>362</xdr:row>
      <xdr:rowOff>63500</xdr:rowOff>
    </xdr:from>
    <xdr:to>
      <xdr:col>48</xdr:col>
      <xdr:colOff>558800</xdr:colOff>
      <xdr:row>380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355600</xdr:colOff>
      <xdr:row>361</xdr:row>
      <xdr:rowOff>177800</xdr:rowOff>
    </xdr:from>
    <xdr:to>
      <xdr:col>55</xdr:col>
      <xdr:colOff>444500</xdr:colOff>
      <xdr:row>380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190500</xdr:colOff>
      <xdr:row>347</xdr:row>
      <xdr:rowOff>0</xdr:rowOff>
    </xdr:from>
    <xdr:to>
      <xdr:col>61</xdr:col>
      <xdr:colOff>12700</xdr:colOff>
      <xdr:row>367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55</xdr:col>
      <xdr:colOff>635000</xdr:colOff>
      <xdr:row>370</xdr:row>
      <xdr:rowOff>114300</xdr:rowOff>
    </xdr:from>
    <xdr:to>
      <xdr:col>57</xdr:col>
      <xdr:colOff>520700</xdr:colOff>
      <xdr:row>377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37500" y="69265800"/>
          <a:ext cx="1536700" cy="1231900"/>
        </a:xfrm>
        <a:prstGeom prst="rect">
          <a:avLst/>
        </a:prstGeom>
      </xdr:spPr>
    </xdr:pic>
    <xdr:clientData/>
  </xdr:twoCellAnchor>
  <xdr:twoCellAnchor editAs="oneCell">
    <xdr:from>
      <xdr:col>57</xdr:col>
      <xdr:colOff>495300</xdr:colOff>
      <xdr:row>370</xdr:row>
      <xdr:rowOff>177800</xdr:rowOff>
    </xdr:from>
    <xdr:to>
      <xdr:col>59</xdr:col>
      <xdr:colOff>381000</xdr:colOff>
      <xdr:row>376</xdr:row>
      <xdr:rowOff>177800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548800" y="69329300"/>
          <a:ext cx="1536700" cy="1143000"/>
        </a:xfrm>
        <a:prstGeom prst="rect">
          <a:avLst/>
        </a:prstGeom>
      </xdr:spPr>
    </xdr:pic>
    <xdr:clientData/>
  </xdr:twoCellAnchor>
  <xdr:twoCellAnchor editAs="oneCell">
    <xdr:from>
      <xdr:col>59</xdr:col>
      <xdr:colOff>419100</xdr:colOff>
      <xdr:row>370</xdr:row>
      <xdr:rowOff>101600</xdr:rowOff>
    </xdr:from>
    <xdr:to>
      <xdr:col>61</xdr:col>
      <xdr:colOff>304800</xdr:colOff>
      <xdr:row>376</xdr:row>
      <xdr:rowOff>101600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23600" y="69253100"/>
          <a:ext cx="15367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ct?url=https%3A%2F%2Fdx.doi.org%2F10.1103%2FPhysRevD.88.012006&amp;v=8940da28" TargetMode="External"/><Relationship Id="rId13" Type="http://schemas.openxmlformats.org/officeDocument/2006/relationships/hyperlink" Target="http://inspirehep.net/record/1374815/files/E.Dahlthesis.pdf" TargetMode="External"/><Relationship Id="rId18" Type="http://schemas.openxmlformats.org/officeDocument/2006/relationships/hyperlink" Target="https://arxiv.org/ct?url=https%3A%2F%2Fdx.doi.org%2F10.1103%2FPhysRevLett.97.081302&amp;v=3d6cacec" TargetMode="External"/><Relationship Id="rId26" Type="http://schemas.openxmlformats.org/officeDocument/2006/relationships/hyperlink" Target="https://arxiv.org/ct?url=https%3A%2F%2Fdx.doi.org%2F10.1103%2FPhysRevD.98.112003&amp;v=d31a8ff4" TargetMode="External"/><Relationship Id="rId3" Type="http://schemas.openxmlformats.org/officeDocument/2006/relationships/hyperlink" Target="https://indico.bnl.gov/event/4908/attachments/20271/27046/181004_QingLin_XENON1T_BNLSeminar.pdf" TargetMode="External"/><Relationship Id="rId21" Type="http://schemas.openxmlformats.org/officeDocument/2006/relationships/hyperlink" Target="https://arxiv.org/ct?url=https%3A%2F%2Fdx.doi.org%2F10.1103%2FPhysRevLett.97.081302&amp;v=3d6cacec" TargetMode="External"/><Relationship Id="rId7" Type="http://schemas.openxmlformats.org/officeDocument/2006/relationships/hyperlink" Target="http://inspirehep.net/record/1374815/files/E.Dahlthesis.pdf" TargetMode="External"/><Relationship Id="rId12" Type="http://schemas.openxmlformats.org/officeDocument/2006/relationships/hyperlink" Target="https://arxiv.org/ct?url=https%3A%2F%2Fdx.doi.org%2F10.1103%2FPhysRevLett.107.051301&amp;v=264e4d22" TargetMode="External"/><Relationship Id="rId17" Type="http://schemas.openxmlformats.org/officeDocument/2006/relationships/hyperlink" Target="https://arxiv.org/ct?url=https%3A%2F%2Fdx.doi.org%2F10.1103%2FPhysRevC.81.025808&amp;v=14a9cfe2" TargetMode="External"/><Relationship Id="rId25" Type="http://schemas.openxmlformats.org/officeDocument/2006/relationships/hyperlink" Target="https://arxiv.org/ct?url=https%3A%2F%2Fdx.doi.org%2F10.1103%2FPhysRevD.98.112003&amp;v=d31a8ff4" TargetMode="External"/><Relationship Id="rId2" Type="http://schemas.openxmlformats.org/officeDocument/2006/relationships/hyperlink" Target="http://inspirehep.net/record/1374815/files/E.Dahlthesis.pdf" TargetMode="External"/><Relationship Id="rId16" Type="http://schemas.openxmlformats.org/officeDocument/2006/relationships/hyperlink" Target="http://inspirehep.net/record/1374815/files/E.Dahlthesis.pdf" TargetMode="External"/><Relationship Id="rId20" Type="http://schemas.openxmlformats.org/officeDocument/2006/relationships/hyperlink" Target="https://arxiv.org/ct?url=https%3A%2F%2Fdx.doi.org%2F10.1103%2FPhysRevLett.97.081302&amp;v=3d6cacec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arxiv.org/ct?url=https%3A%2F%2Fdx.doi.org%2F10.1103%2FPhysRevLett.97.081302&amp;v=3d6cacec" TargetMode="External"/><Relationship Id="rId6" Type="http://schemas.openxmlformats.org/officeDocument/2006/relationships/hyperlink" Target="https://arxiv.org/abs/1608.05381" TargetMode="External"/><Relationship Id="rId11" Type="http://schemas.openxmlformats.org/officeDocument/2006/relationships/hyperlink" Target="https://arxiv.org/ct?url=https%3A%2F%2Fdx.doi.org%2F10.1088%2F1475-7516%2F2010%2F09%2F033&amp;v=6ff14c0f" TargetMode="External"/><Relationship Id="rId24" Type="http://schemas.openxmlformats.org/officeDocument/2006/relationships/hyperlink" Target="https://arxiv.org/ct?url=https%3A%2F%2Fdx.doi.org%2F10.1016%2Fj.physletb.2011.10.038&amp;v=aac5ce51" TargetMode="External"/><Relationship Id="rId5" Type="http://schemas.openxmlformats.org/officeDocument/2006/relationships/hyperlink" Target="https://arxiv.org/ct?url=https%3A%2F%2Fdx.doi.org%2F10.1103%2FPhysRevLett.97.081302&amp;v=3d6cacec" TargetMode="External"/><Relationship Id="rId15" Type="http://schemas.openxmlformats.org/officeDocument/2006/relationships/hyperlink" Target="http://inspirehep.net/record/1374815/files/E.Dahlthesis.pdf" TargetMode="External"/><Relationship Id="rId23" Type="http://schemas.openxmlformats.org/officeDocument/2006/relationships/hyperlink" Target="https://arxiv.org/ct?url=https%3A%2F%2Fdx.doi.org%2F10.1016%2Fj.physletb.2011.10.038&amp;v=aac5ce51" TargetMode="External"/><Relationship Id="rId28" Type="http://schemas.openxmlformats.org/officeDocument/2006/relationships/hyperlink" Target="https://arxiv.org/pdf/1902.11297.pdf" TargetMode="External"/><Relationship Id="rId10" Type="http://schemas.openxmlformats.org/officeDocument/2006/relationships/hyperlink" Target="https://arxiv.org/abs/1011.6439" TargetMode="External"/><Relationship Id="rId19" Type="http://schemas.openxmlformats.org/officeDocument/2006/relationships/hyperlink" Target="https://arxiv.org/ct?url=https%3A%2F%2Fdx.doi.org%2F10.1103%2FPhysRevLett.97.081302&amp;v=3d6cacec" TargetMode="External"/><Relationship Id="rId4" Type="http://schemas.openxmlformats.org/officeDocument/2006/relationships/hyperlink" Target="https://arxiv.org/ct?url=https%3A%2F%2Fdx.doi.org%2F10.1103%2FPhysRevLett.97.081302&amp;v=3d6cacec" TargetMode="External"/><Relationship Id="rId9" Type="http://schemas.openxmlformats.org/officeDocument/2006/relationships/hyperlink" Target="https://arxiv.org/ct?url=https%3A%2F%2Fdx.doi.org%2F10.1016%2Fj.nima.2008.12.197&amp;v=c0a3dbdb" TargetMode="External"/><Relationship Id="rId14" Type="http://schemas.openxmlformats.org/officeDocument/2006/relationships/hyperlink" Target="https://arxiv.org/ct?url=https%3A%2F%2Fdx.doi.org%2F10.1103%2FPhysRevC.81.025808&amp;v=14a9cfe2" TargetMode="External"/><Relationship Id="rId22" Type="http://schemas.openxmlformats.org/officeDocument/2006/relationships/hyperlink" Target="https://arxiv.org/ct?url=https%3A%2F%2Fdx.doi.org%2F10.1103%2FPhysRevLett.97.081302&amp;v=3d6cacec" TargetMode="External"/><Relationship Id="rId27" Type="http://schemas.openxmlformats.org/officeDocument/2006/relationships/hyperlink" Target="https://arxiv.org/ct?url=https%3A%2F%2Fdx.doi.org%2F10.1103%2FPhysRevD.98.112003&amp;v=d31a8ff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ct?url=https%3A%2F%2Fdx.doi.org%2F10.1103%2FPhysRevD.98.112003&amp;v=d31a8ff4" TargetMode="External"/><Relationship Id="rId13" Type="http://schemas.openxmlformats.org/officeDocument/2006/relationships/hyperlink" Target="https://arxiv.org/abs/1608.05381" TargetMode="External"/><Relationship Id="rId18" Type="http://schemas.openxmlformats.org/officeDocument/2006/relationships/hyperlink" Target="https://arxiv.org/ct?url=https%3A%2F%2Fdx.doi.org%2F10.1016%2Fj.physletb.2011.10.038&amp;v=aac5ce51" TargetMode="External"/><Relationship Id="rId3" Type="http://schemas.openxmlformats.org/officeDocument/2006/relationships/hyperlink" Target="http://inspirehep.net/record/1374815/files/E.Dahlthesis.pdf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arxiv.org/ct?url=https%3A%2F%2Fdx.doi.org%2F10.1103%2FPhysRevD.98.112003&amp;v=d31a8ff4" TargetMode="External"/><Relationship Id="rId12" Type="http://schemas.openxmlformats.org/officeDocument/2006/relationships/hyperlink" Target="https://arxiv.org/ct?url=https%3A%2F%2Fdx.doi.org%2F10.1103%2FPhysRevC.81.025808&amp;v=14a9cfe2" TargetMode="External"/><Relationship Id="rId17" Type="http://schemas.openxmlformats.org/officeDocument/2006/relationships/hyperlink" Target="https://arxiv.org/ct?url=https%3A%2F%2Fdx.doi.org%2F10.1016%2Fj.nima.2008.12.197&amp;v=c0a3dbdb" TargetMode="External"/><Relationship Id="rId2" Type="http://schemas.openxmlformats.org/officeDocument/2006/relationships/hyperlink" Target="http://inspirehep.net/record/1374815/files/E.Dahlthesis.pdf" TargetMode="External"/><Relationship Id="rId16" Type="http://schemas.openxmlformats.org/officeDocument/2006/relationships/hyperlink" Target="https://arxiv.org/ct?url=https%3A%2F%2Fdx.doi.org%2F10.1103%2FPhysRevD.88.012006&amp;v=8940da28" TargetMode="External"/><Relationship Id="rId20" Type="http://schemas.openxmlformats.org/officeDocument/2006/relationships/hyperlink" Target="https://arxiv.org/ct?url=https%3A%2F%2Fdx.doi.org%2F10.1016%2Fj.physletb.2011.10.038&amp;v=aac5ce51" TargetMode="External"/><Relationship Id="rId1" Type="http://schemas.openxmlformats.org/officeDocument/2006/relationships/hyperlink" Target="http://inspirehep.net/record/1374815/files/E.Dahlthesis.pdf" TargetMode="External"/><Relationship Id="rId6" Type="http://schemas.openxmlformats.org/officeDocument/2006/relationships/hyperlink" Target="https://arxiv.org/ct?url=https%3A%2F%2Fdx.doi.org%2F10.1103%2FPhysRevD.98.112003&amp;v=d31a8ff4" TargetMode="External"/><Relationship Id="rId11" Type="http://schemas.openxmlformats.org/officeDocument/2006/relationships/hyperlink" Target="https://arxiv.org/ct?url=https%3A%2F%2Fdx.doi.org%2F10.1103%2FPhysRevC.81.025808&amp;v=14a9cfe2" TargetMode="External"/><Relationship Id="rId5" Type="http://schemas.openxmlformats.org/officeDocument/2006/relationships/hyperlink" Target="http://inspirehep.net/record/1374815/files/E.Dahlthesis.pdf" TargetMode="External"/><Relationship Id="rId15" Type="http://schemas.openxmlformats.org/officeDocument/2006/relationships/hyperlink" Target="https://arxiv.org/ct?url=https%3A%2F%2Fdx.doi.org%2F10.1103%2FPhysRevD.88.012006&amp;v=8940da28" TargetMode="External"/><Relationship Id="rId10" Type="http://schemas.openxmlformats.org/officeDocument/2006/relationships/hyperlink" Target="https://arxiv.org/ct?url=https%3A%2F%2Fdx.doi.org%2F10.1103%2FPhysRevC.81.025808&amp;v=14a9cfe2" TargetMode="External"/><Relationship Id="rId19" Type="http://schemas.openxmlformats.org/officeDocument/2006/relationships/hyperlink" Target="https://arxiv.org/ct?url=https%3A%2F%2Fdx.doi.org%2F10.1016%2Fj.physletb.2011.10.038&amp;v=aac5ce51" TargetMode="External"/><Relationship Id="rId4" Type="http://schemas.openxmlformats.org/officeDocument/2006/relationships/hyperlink" Target="http://inspirehep.net/record/1374815/files/E.Dahlthesis.pdf" TargetMode="External"/><Relationship Id="rId9" Type="http://schemas.openxmlformats.org/officeDocument/2006/relationships/hyperlink" Target="https://arxiv.org/ct?url=https%3A%2F%2Fdx.doi.org%2F10.1103%2FPhysRevC.81.025808&amp;v=14a9cfe2" TargetMode="External"/><Relationship Id="rId14" Type="http://schemas.openxmlformats.org/officeDocument/2006/relationships/hyperlink" Target="https://indico.bnl.gov/event/4908/attachments/20271/27046/181004_QingLin_XENON1T_BNLSemina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G356"/>
  <sheetViews>
    <sheetView workbookViewId="0">
      <selection activeCell="A9" sqref="A9"/>
    </sheetView>
  </sheetViews>
  <sheetFormatPr baseColWidth="10" defaultRowHeight="16"/>
  <cols>
    <col min="1" max="1" width="10.83203125" style="11" customWidth="1"/>
    <col min="2" max="13" width="10.83203125" style="3"/>
    <col min="24" max="67" width="10.83203125" style="33"/>
    <col min="68" max="68" width="10.83203125" style="33" customWidth="1"/>
    <col min="69" max="293" width="10.83203125" style="33"/>
  </cols>
  <sheetData>
    <row r="1" spans="1:63">
      <c r="A1" s="9"/>
      <c r="B1" s="4" t="s">
        <v>0</v>
      </c>
      <c r="C1" s="4" t="s">
        <v>1</v>
      </c>
      <c r="D1" s="4" t="s">
        <v>2</v>
      </c>
      <c r="E1" s="4" t="s">
        <v>3</v>
      </c>
      <c r="F1" s="4" t="s">
        <v>12</v>
      </c>
      <c r="G1" s="4" t="s">
        <v>13</v>
      </c>
      <c r="H1" s="4" t="s">
        <v>15</v>
      </c>
      <c r="I1" s="4" t="s">
        <v>16</v>
      </c>
      <c r="J1" s="4" t="s">
        <v>17</v>
      </c>
      <c r="K1" s="4" t="s">
        <v>28</v>
      </c>
      <c r="L1" s="4" t="s">
        <v>26</v>
      </c>
      <c r="M1" s="4" t="s">
        <v>27</v>
      </c>
      <c r="N1" s="4" t="s">
        <v>32</v>
      </c>
      <c r="O1" s="4" t="s">
        <v>35</v>
      </c>
      <c r="P1" s="4" t="s">
        <v>38</v>
      </c>
      <c r="Q1" s="31" t="s">
        <v>39</v>
      </c>
      <c r="R1" s="31" t="s">
        <v>40</v>
      </c>
      <c r="S1" s="31" t="s">
        <v>42</v>
      </c>
      <c r="T1" s="31" t="s">
        <v>43</v>
      </c>
      <c r="BE1" s="64"/>
      <c r="BF1" s="64"/>
      <c r="BG1" s="64"/>
      <c r="BH1" s="64"/>
      <c r="BI1" s="64"/>
      <c r="BJ1" s="64"/>
      <c r="BK1" s="64"/>
    </row>
    <row r="2" spans="1:63">
      <c r="A2" s="10" t="s">
        <v>25</v>
      </c>
      <c r="B2" s="4">
        <v>60</v>
      </c>
      <c r="C2" s="7">
        <v>6.8969258570000003</v>
      </c>
      <c r="D2" s="7">
        <v>5.6520268509999996</v>
      </c>
      <c r="E2" s="7">
        <v>0.16956080600000001</v>
      </c>
      <c r="F2" s="4"/>
      <c r="G2" s="4"/>
      <c r="H2" s="7">
        <v>0.17264154600000001</v>
      </c>
      <c r="I2" s="7">
        <v>0.24063146899999999</v>
      </c>
      <c r="J2" s="4">
        <f>(H2+I2)/2</f>
        <v>0.20663650750000001</v>
      </c>
      <c r="K2" s="4">
        <v>5</v>
      </c>
      <c r="L2" s="3">
        <v>10</v>
      </c>
      <c r="M2" s="3">
        <f>L2/1.85</f>
        <v>5.4054054054054053</v>
      </c>
      <c r="N2" s="3">
        <v>1</v>
      </c>
      <c r="O2">
        <f>-0.03754*M2^2+0.5266*M2-0.84645</f>
        <v>0.90317746530314091</v>
      </c>
      <c r="P2">
        <f>N2/O2</f>
        <v>1.1072021152170373</v>
      </c>
      <c r="Q2">
        <f>C2</f>
        <v>6.8969258570000003</v>
      </c>
      <c r="R2">
        <f>C2*D2*P2</f>
        <v>43.160521193956562</v>
      </c>
      <c r="S2">
        <f>C2*(D2+E2)*P2</f>
        <v>44.455336833364314</v>
      </c>
      <c r="T2">
        <f>C2*(D2-E2)*P2</f>
        <v>41.865705554548811</v>
      </c>
      <c r="U2">
        <f>(S2-R2)</f>
        <v>1.2948156394077515</v>
      </c>
      <c r="V2">
        <f>(R2-T2)</f>
        <v>1.2948156394077515</v>
      </c>
      <c r="W2">
        <f>(U2+V2)/2</f>
        <v>1.2948156394077515</v>
      </c>
      <c r="BE2" s="64"/>
      <c r="BF2" s="64"/>
      <c r="BG2" s="64"/>
      <c r="BH2" s="8"/>
      <c r="BI2" s="8"/>
      <c r="BJ2" s="64"/>
      <c r="BK2" s="64"/>
    </row>
    <row r="3" spans="1:63">
      <c r="A3" s="66" t="s">
        <v>65</v>
      </c>
      <c r="B3" s="4">
        <v>60</v>
      </c>
      <c r="C3" s="7">
        <v>9.4765358469999992</v>
      </c>
      <c r="D3" s="7">
        <v>5.2916774999999996</v>
      </c>
      <c r="E3" s="7">
        <v>0.158750325</v>
      </c>
      <c r="F3" s="4"/>
      <c r="G3" s="4"/>
      <c r="H3" s="7">
        <v>0.234007083</v>
      </c>
      <c r="I3" s="7">
        <v>0.22948606999999999</v>
      </c>
      <c r="J3" s="4">
        <f t="shared" ref="J3:J20" si="0">(H3+I3)/2</f>
        <v>0.2317465765</v>
      </c>
      <c r="K3" s="4">
        <v>5</v>
      </c>
      <c r="L3" s="3">
        <v>10</v>
      </c>
      <c r="M3" s="3">
        <f>L3/1.85</f>
        <v>5.4054054054054053</v>
      </c>
      <c r="N3" s="3">
        <v>1</v>
      </c>
      <c r="O3">
        <f t="shared" ref="O3:O36" si="1">-0.03754*M3^2+0.5266*M3-0.84645</f>
        <v>0.90317746530314091</v>
      </c>
      <c r="P3">
        <f t="shared" ref="P3:P36" si="2">N3/O3</f>
        <v>1.1072021152170373</v>
      </c>
      <c r="Q3">
        <f t="shared" ref="Q3:Q20" si="3">C3</f>
        <v>9.4765358469999992</v>
      </c>
      <c r="R3">
        <f t="shared" ref="R3:R83" si="4">C3*D3*P3</f>
        <v>55.522611497710649</v>
      </c>
      <c r="S3">
        <f t="shared" ref="S3:S83" si="5">C3*(D3+E3)*P3</f>
        <v>57.188289842641957</v>
      </c>
      <c r="T3">
        <f t="shared" ref="T3:T83" si="6">C3*(D3-E3)*P3</f>
        <v>53.856933152779327</v>
      </c>
      <c r="U3">
        <f t="shared" ref="U3:U83" si="7">(S3-R3)</f>
        <v>1.6656783449313082</v>
      </c>
      <c r="V3">
        <f t="shared" ref="V3:V83" si="8">(R3-T3)</f>
        <v>1.6656783449313224</v>
      </c>
      <c r="W3">
        <f t="shared" ref="W3:W83" si="9">(U3+V3)/2</f>
        <v>1.6656783449313153</v>
      </c>
      <c r="BE3" s="64"/>
      <c r="BF3" s="64"/>
      <c r="BG3" s="64"/>
      <c r="BH3" s="8"/>
      <c r="BI3" s="8"/>
      <c r="BJ3" s="64"/>
      <c r="BK3" s="64"/>
    </row>
    <row r="4" spans="1:63">
      <c r="A4" s="9"/>
      <c r="B4" s="4">
        <v>60</v>
      </c>
      <c r="C4" s="7">
        <v>12.07362603</v>
      </c>
      <c r="D4" s="7">
        <v>4.9344392819999996</v>
      </c>
      <c r="E4" s="7">
        <v>0.14803317799999999</v>
      </c>
      <c r="F4" s="4"/>
      <c r="G4" s="4"/>
      <c r="H4" s="7">
        <v>0.273496925</v>
      </c>
      <c r="I4" s="7">
        <v>0.32144856900000002</v>
      </c>
      <c r="J4" s="4">
        <f t="shared" si="0"/>
        <v>0.29747274700000004</v>
      </c>
      <c r="K4" s="4">
        <v>5</v>
      </c>
      <c r="L4" s="3">
        <v>10</v>
      </c>
      <c r="M4" s="3">
        <f>L4/1.85</f>
        <v>5.4054054054054053</v>
      </c>
      <c r="N4" s="3">
        <v>1</v>
      </c>
      <c r="O4">
        <f t="shared" si="1"/>
        <v>0.90317746530314091</v>
      </c>
      <c r="P4">
        <f t="shared" si="2"/>
        <v>1.1072021152170373</v>
      </c>
      <c r="Q4">
        <f t="shared" si="3"/>
        <v>12.07362603</v>
      </c>
      <c r="R4">
        <f t="shared" si="4"/>
        <v>65.963309368678196</v>
      </c>
      <c r="S4">
        <f t="shared" si="5"/>
        <v>67.942208643589296</v>
      </c>
      <c r="T4">
        <f t="shared" si="6"/>
        <v>63.984410093767103</v>
      </c>
      <c r="U4">
        <f t="shared" si="7"/>
        <v>1.9788992749111003</v>
      </c>
      <c r="V4">
        <f t="shared" si="8"/>
        <v>1.9788992749110932</v>
      </c>
      <c r="W4">
        <f t="shared" si="9"/>
        <v>1.9788992749110967</v>
      </c>
      <c r="BE4" s="64"/>
      <c r="BF4" s="64"/>
      <c r="BG4" s="64"/>
      <c r="BH4" s="8"/>
      <c r="BI4" s="8"/>
      <c r="BJ4" s="64"/>
      <c r="BK4" s="64"/>
    </row>
    <row r="5" spans="1:63">
      <c r="A5" s="9"/>
      <c r="B5" s="4">
        <v>60</v>
      </c>
      <c r="C5" s="7">
        <v>14.48470129</v>
      </c>
      <c r="D5" s="7">
        <v>4.7136950679999998</v>
      </c>
      <c r="E5" s="7">
        <v>0.141410852</v>
      </c>
      <c r="F5" s="4"/>
      <c r="G5" s="4"/>
      <c r="H5" s="7">
        <v>0.29859004500000003</v>
      </c>
      <c r="I5" s="7">
        <v>0.30426218999999999</v>
      </c>
      <c r="J5" s="4">
        <f t="shared" si="0"/>
        <v>0.30142611750000003</v>
      </c>
      <c r="K5" s="4">
        <v>5</v>
      </c>
      <c r="L5" s="3">
        <v>10</v>
      </c>
      <c r="M5" s="3">
        <f t="shared" ref="M5:M36" si="10">L5/1.85</f>
        <v>5.4054054054054053</v>
      </c>
      <c r="N5" s="3">
        <v>1</v>
      </c>
      <c r="O5">
        <f t="shared" si="1"/>
        <v>0.90317746530314091</v>
      </c>
      <c r="P5">
        <f t="shared" si="2"/>
        <v>1.1072021152170373</v>
      </c>
      <c r="Q5">
        <f t="shared" si="3"/>
        <v>14.48470129</v>
      </c>
      <c r="R5">
        <f t="shared" si="4"/>
        <v>75.595846503112256</v>
      </c>
      <c r="S5">
        <f t="shared" si="5"/>
        <v>77.863721897564105</v>
      </c>
      <c r="T5">
        <f t="shared" si="6"/>
        <v>73.327971108660378</v>
      </c>
      <c r="U5">
        <f t="shared" si="7"/>
        <v>2.267875394451849</v>
      </c>
      <c r="V5">
        <f t="shared" si="8"/>
        <v>2.2678753944518775</v>
      </c>
      <c r="W5">
        <f t="shared" si="9"/>
        <v>2.2678753944518633</v>
      </c>
      <c r="BE5" s="64"/>
      <c r="BF5" s="64"/>
      <c r="BG5" s="64"/>
      <c r="BH5" s="8"/>
      <c r="BI5" s="8"/>
      <c r="BJ5" s="64"/>
      <c r="BK5" s="64"/>
    </row>
    <row r="6" spans="1:63">
      <c r="A6" s="9"/>
      <c r="B6" s="4">
        <v>60</v>
      </c>
      <c r="C6" s="7">
        <v>16.804226799999999</v>
      </c>
      <c r="D6" s="7">
        <v>4.5819548430000001</v>
      </c>
      <c r="E6" s="7">
        <v>0.13745864499999999</v>
      </c>
      <c r="F6" s="4"/>
      <c r="G6" s="4"/>
      <c r="H6" s="7">
        <v>0.50352016600000005</v>
      </c>
      <c r="I6" s="7">
        <v>0.34483102300000001</v>
      </c>
      <c r="J6" s="4">
        <f t="shared" si="0"/>
        <v>0.42417559450000003</v>
      </c>
      <c r="K6" s="4">
        <v>5</v>
      </c>
      <c r="L6" s="3">
        <v>10</v>
      </c>
      <c r="M6" s="3">
        <f t="shared" si="10"/>
        <v>5.4054054054054053</v>
      </c>
      <c r="N6" s="3">
        <v>1</v>
      </c>
      <c r="O6">
        <f t="shared" si="1"/>
        <v>0.90317746530314091</v>
      </c>
      <c r="P6">
        <f t="shared" si="2"/>
        <v>1.1072021152170373</v>
      </c>
      <c r="Q6">
        <f t="shared" si="3"/>
        <v>16.804226799999999</v>
      </c>
      <c r="R6">
        <f t="shared" si="4"/>
        <v>85.250364769992913</v>
      </c>
      <c r="S6">
        <f t="shared" si="5"/>
        <v>87.807875707697036</v>
      </c>
      <c r="T6">
        <f t="shared" si="6"/>
        <v>82.692853832288776</v>
      </c>
      <c r="U6">
        <f t="shared" si="7"/>
        <v>2.557510937704123</v>
      </c>
      <c r="V6">
        <f t="shared" si="8"/>
        <v>2.5575109377041372</v>
      </c>
      <c r="W6">
        <f t="shared" si="9"/>
        <v>2.5575109377041301</v>
      </c>
      <c r="BE6" s="64"/>
      <c r="BF6" s="64"/>
      <c r="BG6" s="64"/>
      <c r="BH6" s="8"/>
      <c r="BI6" s="8"/>
      <c r="BJ6" s="64"/>
      <c r="BK6" s="64"/>
    </row>
    <row r="7" spans="1:63">
      <c r="A7" s="9"/>
      <c r="B7" s="4">
        <v>60</v>
      </c>
      <c r="C7" s="7">
        <v>19.289307390000001</v>
      </c>
      <c r="D7" s="7">
        <v>4.4134108379999999</v>
      </c>
      <c r="E7" s="7">
        <v>0.13240232499999999</v>
      </c>
      <c r="F7" s="4"/>
      <c r="G7" s="4"/>
      <c r="H7" s="7">
        <v>0.16785602499999999</v>
      </c>
      <c r="I7" s="7">
        <v>0.29391602999999999</v>
      </c>
      <c r="J7" s="4">
        <f t="shared" si="0"/>
        <v>0.23088602749999998</v>
      </c>
      <c r="K7" s="4">
        <v>5</v>
      </c>
      <c r="L7" s="3">
        <v>10</v>
      </c>
      <c r="M7" s="3">
        <f t="shared" si="10"/>
        <v>5.4054054054054053</v>
      </c>
      <c r="N7" s="3">
        <v>1</v>
      </c>
      <c r="O7">
        <f t="shared" si="1"/>
        <v>0.90317746530314091</v>
      </c>
      <c r="P7">
        <f t="shared" si="2"/>
        <v>1.1072021152170373</v>
      </c>
      <c r="Q7">
        <f t="shared" si="3"/>
        <v>19.289307390000001</v>
      </c>
      <c r="R7">
        <f t="shared" si="4"/>
        <v>94.257929989391457</v>
      </c>
      <c r="S7">
        <f t="shared" si="5"/>
        <v>97.085667886083201</v>
      </c>
      <c r="T7">
        <f t="shared" si="6"/>
        <v>91.430192092699713</v>
      </c>
      <c r="U7">
        <f t="shared" si="7"/>
        <v>2.8277378966917439</v>
      </c>
      <c r="V7">
        <f t="shared" si="8"/>
        <v>2.8277378966917439</v>
      </c>
      <c r="W7">
        <f t="shared" si="9"/>
        <v>2.8277378966917439</v>
      </c>
      <c r="BE7" s="64"/>
      <c r="BF7" s="64"/>
      <c r="BG7" s="64"/>
      <c r="BH7" s="8"/>
      <c r="BI7" s="8"/>
      <c r="BJ7" s="64"/>
      <c r="BK7" s="64"/>
    </row>
    <row r="8" spans="1:63">
      <c r="A8" s="9"/>
      <c r="B8" s="4">
        <v>60</v>
      </c>
      <c r="C8" s="7">
        <v>21.551985330000001</v>
      </c>
      <c r="D8" s="7">
        <v>4.2889101719999996</v>
      </c>
      <c r="E8" s="7">
        <v>0.12866730500000001</v>
      </c>
      <c r="F8" s="4"/>
      <c r="G8" s="4"/>
      <c r="H8" s="7">
        <v>0.37942098400000002</v>
      </c>
      <c r="I8" s="7">
        <v>0.324932677</v>
      </c>
      <c r="J8" s="4">
        <f t="shared" si="0"/>
        <v>0.35217683050000004</v>
      </c>
      <c r="K8" s="4">
        <v>5</v>
      </c>
      <c r="L8" s="3">
        <v>10</v>
      </c>
      <c r="M8" s="3">
        <f t="shared" si="10"/>
        <v>5.4054054054054053</v>
      </c>
      <c r="N8" s="3">
        <v>1</v>
      </c>
      <c r="O8">
        <f t="shared" si="1"/>
        <v>0.90317746530314091</v>
      </c>
      <c r="P8">
        <f t="shared" si="2"/>
        <v>1.1072021152170373</v>
      </c>
      <c r="Q8">
        <f t="shared" si="3"/>
        <v>21.551985330000001</v>
      </c>
      <c r="R8">
        <f t="shared" si="4"/>
        <v>102.3437061481679</v>
      </c>
      <c r="S8">
        <f t="shared" si="5"/>
        <v>105.41401732879497</v>
      </c>
      <c r="T8">
        <f t="shared" si="6"/>
        <v>99.273394967540838</v>
      </c>
      <c r="U8">
        <f t="shared" si="7"/>
        <v>3.0703111806270726</v>
      </c>
      <c r="V8">
        <f t="shared" si="8"/>
        <v>3.0703111806270584</v>
      </c>
      <c r="W8">
        <f t="shared" si="9"/>
        <v>3.0703111806270655</v>
      </c>
      <c r="BE8" s="64"/>
      <c r="BF8" s="64"/>
      <c r="BG8" s="64"/>
      <c r="BH8" s="8"/>
      <c r="BI8" s="8"/>
      <c r="BJ8" s="64"/>
      <c r="BK8" s="64"/>
    </row>
    <row r="9" spans="1:63">
      <c r="A9" s="9"/>
      <c r="B9" s="4">
        <v>60</v>
      </c>
      <c r="C9" s="7">
        <v>23.81931702</v>
      </c>
      <c r="D9" s="7">
        <v>4.1476802880000001</v>
      </c>
      <c r="E9" s="7">
        <v>0.12443040900000001</v>
      </c>
      <c r="F9" s="4"/>
      <c r="G9" s="4"/>
      <c r="H9" s="7">
        <v>0.33487066599999998</v>
      </c>
      <c r="I9" s="7">
        <v>0.32434484699999999</v>
      </c>
      <c r="J9" s="4">
        <f t="shared" si="0"/>
        <v>0.32960775649999996</v>
      </c>
      <c r="K9" s="4">
        <v>5</v>
      </c>
      <c r="L9" s="3">
        <v>10</v>
      </c>
      <c r="M9" s="3">
        <f t="shared" si="10"/>
        <v>5.4054054054054053</v>
      </c>
      <c r="N9" s="3">
        <v>1</v>
      </c>
      <c r="O9">
        <f t="shared" si="1"/>
        <v>0.90317746530314091</v>
      </c>
      <c r="P9">
        <f t="shared" si="2"/>
        <v>1.1072021152170373</v>
      </c>
      <c r="Q9">
        <f t="shared" si="3"/>
        <v>23.81931702</v>
      </c>
      <c r="R9">
        <f t="shared" si="4"/>
        <v>109.3859351819828</v>
      </c>
      <c r="S9">
        <f t="shared" si="5"/>
        <v>112.66751324693651</v>
      </c>
      <c r="T9">
        <f t="shared" si="6"/>
        <v>106.1043571170291</v>
      </c>
      <c r="U9">
        <f t="shared" si="7"/>
        <v>3.2815780649537061</v>
      </c>
      <c r="V9">
        <f t="shared" si="8"/>
        <v>3.2815780649537061</v>
      </c>
      <c r="W9">
        <f t="shared" si="9"/>
        <v>3.2815780649537061</v>
      </c>
      <c r="BE9" s="64"/>
      <c r="BF9" s="64"/>
      <c r="BG9" s="64"/>
      <c r="BH9" s="8"/>
      <c r="BI9" s="8"/>
      <c r="BJ9" s="64"/>
      <c r="BK9" s="64"/>
    </row>
    <row r="10" spans="1:63">
      <c r="A10" s="9"/>
      <c r="B10" s="4">
        <v>60</v>
      </c>
      <c r="C10" s="7">
        <v>26.15537406</v>
      </c>
      <c r="D10" s="7">
        <v>4.0042005749999996</v>
      </c>
      <c r="E10" s="7">
        <v>0.120126017</v>
      </c>
      <c r="F10" s="4"/>
      <c r="G10" s="4"/>
      <c r="H10" s="7">
        <v>0.28772400300000001</v>
      </c>
      <c r="I10" s="7">
        <v>0.32111444500000003</v>
      </c>
      <c r="J10" s="4">
        <f t="shared" si="0"/>
        <v>0.30441922399999999</v>
      </c>
      <c r="K10" s="4">
        <v>5</v>
      </c>
      <c r="L10" s="3">
        <v>10</v>
      </c>
      <c r="M10" s="3">
        <f t="shared" si="10"/>
        <v>5.4054054054054053</v>
      </c>
      <c r="N10" s="3">
        <v>1</v>
      </c>
      <c r="O10">
        <f t="shared" si="1"/>
        <v>0.90317746530314091</v>
      </c>
      <c r="P10">
        <f t="shared" si="2"/>
        <v>1.1072021152170373</v>
      </c>
      <c r="Q10">
        <f t="shared" si="3"/>
        <v>26.15537406</v>
      </c>
      <c r="R10">
        <f t="shared" si="4"/>
        <v>115.95878758471926</v>
      </c>
      <c r="S10">
        <f t="shared" si="5"/>
        <v>119.43755120502101</v>
      </c>
      <c r="T10">
        <f t="shared" si="6"/>
        <v>112.4800239644175</v>
      </c>
      <c r="U10">
        <f t="shared" si="7"/>
        <v>3.4787636203017485</v>
      </c>
      <c r="V10">
        <f t="shared" si="8"/>
        <v>3.4787636203017627</v>
      </c>
      <c r="W10">
        <f t="shared" si="9"/>
        <v>3.4787636203017556</v>
      </c>
      <c r="BE10" s="64"/>
      <c r="BF10" s="64"/>
      <c r="BG10" s="64"/>
      <c r="BH10" s="8"/>
      <c r="BI10" s="8"/>
      <c r="BJ10" s="64"/>
      <c r="BK10" s="64"/>
    </row>
    <row r="11" spans="1:63">
      <c r="A11" s="9"/>
      <c r="B11" s="4">
        <v>60</v>
      </c>
      <c r="C11" s="7">
        <v>28.25737067</v>
      </c>
      <c r="D11" s="7">
        <v>3.9710998669999999</v>
      </c>
      <c r="E11" s="7">
        <v>0.119132996</v>
      </c>
      <c r="F11" s="4"/>
      <c r="G11" s="4"/>
      <c r="H11" s="7">
        <v>0.27780197400000001</v>
      </c>
      <c r="I11" s="7">
        <v>0.33001609199999998</v>
      </c>
      <c r="J11" s="4">
        <f t="shared" si="0"/>
        <v>0.303909033</v>
      </c>
      <c r="K11" s="4">
        <v>5</v>
      </c>
      <c r="L11" s="3">
        <v>10</v>
      </c>
      <c r="M11" s="3">
        <f t="shared" si="10"/>
        <v>5.4054054054054053</v>
      </c>
      <c r="N11" s="3">
        <v>1</v>
      </c>
      <c r="O11">
        <f t="shared" si="1"/>
        <v>0.90317746530314091</v>
      </c>
      <c r="P11">
        <f t="shared" si="2"/>
        <v>1.1072021152170373</v>
      </c>
      <c r="Q11">
        <f t="shared" si="3"/>
        <v>28.25737067</v>
      </c>
      <c r="R11">
        <f t="shared" si="4"/>
        <v>124.24229480940798</v>
      </c>
      <c r="S11">
        <f t="shared" si="5"/>
        <v>127.96956365337735</v>
      </c>
      <c r="T11">
        <f t="shared" si="6"/>
        <v>120.51502596543862</v>
      </c>
      <c r="U11">
        <f t="shared" si="7"/>
        <v>3.7272688439693695</v>
      </c>
      <c r="V11">
        <f t="shared" si="8"/>
        <v>3.7272688439693553</v>
      </c>
      <c r="W11">
        <f t="shared" si="9"/>
        <v>3.7272688439693624</v>
      </c>
      <c r="BE11" s="64"/>
      <c r="BF11" s="64"/>
      <c r="BG11" s="64"/>
      <c r="BH11" s="8"/>
      <c r="BI11" s="8"/>
      <c r="BJ11" s="64"/>
      <c r="BK11" s="64"/>
    </row>
    <row r="12" spans="1:63">
      <c r="A12" s="9"/>
      <c r="B12" s="4">
        <v>60</v>
      </c>
      <c r="C12" s="7">
        <v>31.399926700000002</v>
      </c>
      <c r="D12" s="7">
        <v>3.8482234200000001</v>
      </c>
      <c r="E12" s="7">
        <v>0.115446703</v>
      </c>
      <c r="F12" s="4"/>
      <c r="G12" s="4"/>
      <c r="H12" s="7">
        <v>0.279466402</v>
      </c>
      <c r="I12" s="7">
        <v>0.32774557700000001</v>
      </c>
      <c r="J12" s="4">
        <f t="shared" si="0"/>
        <v>0.30360598950000001</v>
      </c>
      <c r="K12" s="4">
        <v>5</v>
      </c>
      <c r="L12" s="3">
        <v>10</v>
      </c>
      <c r="M12" s="3">
        <f t="shared" si="10"/>
        <v>5.4054054054054053</v>
      </c>
      <c r="N12" s="3">
        <v>1</v>
      </c>
      <c r="O12">
        <f t="shared" si="1"/>
        <v>0.90317746530314091</v>
      </c>
      <c r="P12">
        <f t="shared" si="2"/>
        <v>1.1072021152170373</v>
      </c>
      <c r="Q12">
        <f t="shared" si="3"/>
        <v>31.399926700000002</v>
      </c>
      <c r="R12">
        <f t="shared" si="4"/>
        <v>133.78758655439529</v>
      </c>
      <c r="S12">
        <f t="shared" si="5"/>
        <v>137.80121416493358</v>
      </c>
      <c r="T12">
        <f t="shared" si="6"/>
        <v>129.773958943857</v>
      </c>
      <c r="U12">
        <f t="shared" si="7"/>
        <v>4.0136276105382933</v>
      </c>
      <c r="V12">
        <f t="shared" si="8"/>
        <v>4.0136276105382933</v>
      </c>
      <c r="W12">
        <f t="shared" si="9"/>
        <v>4.0136276105382933</v>
      </c>
      <c r="BE12" s="64"/>
      <c r="BF12" s="64"/>
      <c r="BG12" s="64"/>
      <c r="BH12" s="8"/>
      <c r="BI12" s="8"/>
      <c r="BJ12" s="64"/>
      <c r="BK12" s="64"/>
    </row>
    <row r="13" spans="1:63">
      <c r="A13" s="9"/>
      <c r="B13" s="4">
        <v>60</v>
      </c>
      <c r="C13" s="7">
        <v>35.578045379999999</v>
      </c>
      <c r="D13" s="7">
        <v>3.6797934190000001</v>
      </c>
      <c r="E13" s="7">
        <v>0.110393803</v>
      </c>
      <c r="F13" s="4"/>
      <c r="G13" s="4"/>
      <c r="H13" s="7">
        <v>0.46654917400000001</v>
      </c>
      <c r="I13" s="7">
        <v>0.36195212900000001</v>
      </c>
      <c r="J13" s="4">
        <f t="shared" si="0"/>
        <v>0.41425065150000001</v>
      </c>
      <c r="K13" s="4">
        <v>5</v>
      </c>
      <c r="L13" s="3">
        <v>10</v>
      </c>
      <c r="M13" s="3">
        <f t="shared" si="10"/>
        <v>5.4054054054054053</v>
      </c>
      <c r="N13" s="3">
        <v>1</v>
      </c>
      <c r="O13">
        <f t="shared" si="1"/>
        <v>0.90317746530314091</v>
      </c>
      <c r="P13">
        <f t="shared" si="2"/>
        <v>1.1072021152170373</v>
      </c>
      <c r="Q13">
        <f t="shared" si="3"/>
        <v>35.578045379999999</v>
      </c>
      <c r="R13">
        <f t="shared" si="4"/>
        <v>144.95474287134215</v>
      </c>
      <c r="S13">
        <f t="shared" si="5"/>
        <v>149.30338517442104</v>
      </c>
      <c r="T13">
        <f t="shared" si="6"/>
        <v>140.60610056826329</v>
      </c>
      <c r="U13">
        <f t="shared" si="7"/>
        <v>4.3486423030788899</v>
      </c>
      <c r="V13">
        <f t="shared" si="8"/>
        <v>4.3486423030788615</v>
      </c>
      <c r="W13">
        <f t="shared" si="9"/>
        <v>4.3486423030788757</v>
      </c>
      <c r="BE13" s="64"/>
      <c r="BF13" s="64"/>
      <c r="BG13" s="64"/>
      <c r="BH13" s="8"/>
      <c r="BI13" s="8"/>
      <c r="BJ13" s="64"/>
      <c r="BK13" s="64"/>
    </row>
    <row r="14" spans="1:63">
      <c r="A14" s="9"/>
      <c r="B14" s="4">
        <v>60</v>
      </c>
      <c r="C14" s="7">
        <v>39.777355129999997</v>
      </c>
      <c r="D14" s="7">
        <v>3.564968221</v>
      </c>
      <c r="E14" s="7">
        <v>0.10694904700000001</v>
      </c>
      <c r="F14" s="4"/>
      <c r="G14" s="4"/>
      <c r="H14" s="7">
        <v>0.37548021599999998</v>
      </c>
      <c r="I14" s="7">
        <v>0.287087967</v>
      </c>
      <c r="J14" s="4">
        <f t="shared" si="0"/>
        <v>0.33128409149999999</v>
      </c>
      <c r="K14" s="4">
        <v>5</v>
      </c>
      <c r="L14" s="3">
        <v>10</v>
      </c>
      <c r="M14" s="3">
        <f t="shared" si="10"/>
        <v>5.4054054054054053</v>
      </c>
      <c r="N14" s="3">
        <v>1</v>
      </c>
      <c r="O14">
        <f t="shared" si="1"/>
        <v>0.90317746530314091</v>
      </c>
      <c r="P14">
        <f t="shared" si="2"/>
        <v>1.1072021152170373</v>
      </c>
      <c r="Q14">
        <f t="shared" si="3"/>
        <v>39.777355129999997</v>
      </c>
      <c r="R14">
        <f t="shared" si="4"/>
        <v>157.00680364770406</v>
      </c>
      <c r="S14">
        <f t="shared" si="5"/>
        <v>161.71700777343059</v>
      </c>
      <c r="T14">
        <f t="shared" si="6"/>
        <v>152.29659952197756</v>
      </c>
      <c r="U14">
        <f t="shared" si="7"/>
        <v>4.7102041257265341</v>
      </c>
      <c r="V14">
        <f t="shared" si="8"/>
        <v>4.7102041257265057</v>
      </c>
      <c r="W14">
        <f t="shared" si="9"/>
        <v>4.7102041257265199</v>
      </c>
      <c r="BE14" s="64"/>
      <c r="BF14" s="64"/>
      <c r="BG14" s="64"/>
      <c r="BH14" s="8"/>
      <c r="BI14" s="8"/>
      <c r="BJ14" s="64"/>
      <c r="BK14" s="64"/>
    </row>
    <row r="15" spans="1:63">
      <c r="A15" s="9"/>
      <c r="B15" s="4">
        <v>60</v>
      </c>
      <c r="C15" s="7">
        <v>43.873780009999997</v>
      </c>
      <c r="D15" s="7">
        <v>3.419075624</v>
      </c>
      <c r="E15" s="7">
        <v>0.10257226899999999</v>
      </c>
      <c r="F15" s="4"/>
      <c r="G15" s="4"/>
      <c r="H15" s="7">
        <v>0.47353676300000003</v>
      </c>
      <c r="I15" s="7">
        <v>0.35217029399999999</v>
      </c>
      <c r="J15" s="4">
        <f t="shared" si="0"/>
        <v>0.41285352850000001</v>
      </c>
      <c r="K15" s="4">
        <v>5</v>
      </c>
      <c r="L15" s="3">
        <v>10</v>
      </c>
      <c r="M15" s="3">
        <f t="shared" si="10"/>
        <v>5.4054054054054053</v>
      </c>
      <c r="N15" s="3">
        <v>1</v>
      </c>
      <c r="O15">
        <f t="shared" si="1"/>
        <v>0.90317746530314091</v>
      </c>
      <c r="P15">
        <f t="shared" si="2"/>
        <v>1.1072021152170373</v>
      </c>
      <c r="Q15">
        <f t="shared" si="3"/>
        <v>43.873780009999997</v>
      </c>
      <c r="R15">
        <f t="shared" si="4"/>
        <v>166.08892219712445</v>
      </c>
      <c r="S15">
        <f t="shared" si="5"/>
        <v>171.07158987663979</v>
      </c>
      <c r="T15">
        <f t="shared" si="6"/>
        <v>161.10625451760913</v>
      </c>
      <c r="U15">
        <f t="shared" si="7"/>
        <v>4.9826676795153446</v>
      </c>
      <c r="V15">
        <f t="shared" si="8"/>
        <v>4.9826676795153162</v>
      </c>
      <c r="W15">
        <f t="shared" si="9"/>
        <v>4.9826676795153304</v>
      </c>
      <c r="BE15" s="64"/>
      <c r="BF15" s="64"/>
      <c r="BG15" s="64"/>
      <c r="BH15" s="8"/>
      <c r="BI15" s="8"/>
      <c r="BJ15" s="64"/>
      <c r="BK15" s="64"/>
    </row>
    <row r="16" spans="1:63">
      <c r="A16" s="9"/>
      <c r="B16" s="4">
        <v>60</v>
      </c>
      <c r="C16" s="7">
        <v>49.723083209999999</v>
      </c>
      <c r="D16" s="7">
        <v>3.2647608990000001</v>
      </c>
      <c r="E16" s="7">
        <v>9.7942826999999996E-2</v>
      </c>
      <c r="F16" s="4"/>
      <c r="G16" s="4"/>
      <c r="H16" s="7">
        <v>0.372884508</v>
      </c>
      <c r="I16" s="7">
        <v>0.299861143</v>
      </c>
      <c r="J16" s="4">
        <f t="shared" si="0"/>
        <v>0.33637282550000003</v>
      </c>
      <c r="K16" s="4">
        <v>5</v>
      </c>
      <c r="L16" s="3">
        <v>10</v>
      </c>
      <c r="M16" s="3">
        <f t="shared" si="10"/>
        <v>5.4054054054054053</v>
      </c>
      <c r="N16" s="3">
        <v>1</v>
      </c>
      <c r="O16">
        <f t="shared" si="1"/>
        <v>0.90317746530314091</v>
      </c>
      <c r="P16">
        <f t="shared" si="2"/>
        <v>1.1072021152170373</v>
      </c>
      <c r="Q16">
        <f t="shared" si="3"/>
        <v>49.723083209999999</v>
      </c>
      <c r="R16">
        <f t="shared" si="4"/>
        <v>179.73652363796069</v>
      </c>
      <c r="S16">
        <f t="shared" si="5"/>
        <v>185.12861934875107</v>
      </c>
      <c r="T16">
        <f t="shared" si="6"/>
        <v>174.34442792717024</v>
      </c>
      <c r="U16">
        <f t="shared" si="7"/>
        <v>5.392095710790386</v>
      </c>
      <c r="V16">
        <f t="shared" si="8"/>
        <v>5.3920957107904428</v>
      </c>
      <c r="W16">
        <f t="shared" si="9"/>
        <v>5.3920957107904144</v>
      </c>
      <c r="BE16" s="64"/>
      <c r="BF16" s="64"/>
      <c r="BG16" s="64"/>
      <c r="BH16" s="8"/>
      <c r="BI16" s="8"/>
      <c r="BJ16" s="64"/>
      <c r="BK16" s="64"/>
    </row>
    <row r="17" spans="1:293">
      <c r="A17" s="9"/>
      <c r="B17" s="4">
        <v>60</v>
      </c>
      <c r="C17" s="8">
        <v>56.5</v>
      </c>
      <c r="D17" s="8">
        <v>3.2058849409999999</v>
      </c>
      <c r="E17" s="8">
        <v>0.1</v>
      </c>
      <c r="F17" s="4"/>
      <c r="G17" s="4"/>
      <c r="H17" s="7">
        <v>0</v>
      </c>
      <c r="I17" s="7">
        <v>0</v>
      </c>
      <c r="J17" s="4">
        <f t="shared" si="0"/>
        <v>0</v>
      </c>
      <c r="K17" s="4">
        <v>5</v>
      </c>
      <c r="L17" s="3">
        <v>10</v>
      </c>
      <c r="M17" s="3">
        <f t="shared" si="10"/>
        <v>5.4054054054054053</v>
      </c>
      <c r="N17" s="3">
        <v>1</v>
      </c>
      <c r="O17">
        <f t="shared" si="1"/>
        <v>0.90317746530314091</v>
      </c>
      <c r="P17">
        <v>1.06</v>
      </c>
      <c r="Q17">
        <f t="shared" si="3"/>
        <v>56.5</v>
      </c>
      <c r="R17" s="17">
        <v>192.0004491</v>
      </c>
      <c r="S17">
        <f t="shared" si="5"/>
        <v>197.98944911649002</v>
      </c>
      <c r="T17">
        <f t="shared" si="6"/>
        <v>186.01144911649001</v>
      </c>
      <c r="U17">
        <f t="shared" si="7"/>
        <v>5.9890000164900243</v>
      </c>
      <c r="V17">
        <f t="shared" si="8"/>
        <v>5.9889999835099843</v>
      </c>
      <c r="W17">
        <f t="shared" si="9"/>
        <v>5.9890000000000043</v>
      </c>
      <c r="BE17" s="64"/>
      <c r="BF17" s="64"/>
      <c r="BG17" s="64"/>
      <c r="BH17" s="8"/>
      <c r="BI17" s="8"/>
      <c r="BJ17" s="64"/>
      <c r="BK17" s="64"/>
    </row>
    <row r="18" spans="1:293">
      <c r="A18" s="9"/>
      <c r="B18" s="4">
        <v>60</v>
      </c>
      <c r="C18" s="7">
        <v>57.528399149999998</v>
      </c>
      <c r="D18" s="7">
        <v>3.0935505910000001</v>
      </c>
      <c r="E18" s="7">
        <v>9.2806518000000005E-2</v>
      </c>
      <c r="F18" s="4"/>
      <c r="G18" s="4"/>
      <c r="H18" s="7">
        <v>0.51272702699999995</v>
      </c>
      <c r="I18" s="7">
        <v>0.391205686</v>
      </c>
      <c r="J18" s="4">
        <f t="shared" si="0"/>
        <v>0.45196635649999994</v>
      </c>
      <c r="K18" s="4">
        <v>5</v>
      </c>
      <c r="L18" s="3">
        <v>10</v>
      </c>
      <c r="M18" s="3">
        <f t="shared" si="10"/>
        <v>5.4054054054054053</v>
      </c>
      <c r="N18" s="3">
        <v>1</v>
      </c>
      <c r="O18">
        <f t="shared" si="1"/>
        <v>0.90317746530314091</v>
      </c>
      <c r="P18">
        <f t="shared" si="2"/>
        <v>1.1072021152170373</v>
      </c>
      <c r="Q18">
        <f t="shared" si="3"/>
        <v>57.528399149999998</v>
      </c>
      <c r="R18">
        <f t="shared" si="4"/>
        <v>197.04545344256772</v>
      </c>
      <c r="S18">
        <f t="shared" si="5"/>
        <v>202.95681706304256</v>
      </c>
      <c r="T18">
        <f t="shared" si="6"/>
        <v>191.13408982209288</v>
      </c>
      <c r="U18">
        <f t="shared" si="7"/>
        <v>5.9113636204748445</v>
      </c>
      <c r="V18">
        <f t="shared" si="8"/>
        <v>5.9113636204748445</v>
      </c>
      <c r="W18">
        <f t="shared" si="9"/>
        <v>5.9113636204748445</v>
      </c>
      <c r="BE18" s="64"/>
      <c r="BF18" s="64"/>
      <c r="BG18" s="64"/>
      <c r="BH18" s="8"/>
      <c r="BI18" s="8"/>
      <c r="BJ18" s="64"/>
      <c r="BK18" s="64"/>
    </row>
    <row r="19" spans="1:293">
      <c r="A19" s="9"/>
      <c r="B19" s="4">
        <v>60</v>
      </c>
      <c r="C19" s="7">
        <v>65.038876009999996</v>
      </c>
      <c r="D19" s="7">
        <v>2.8507515379999999</v>
      </c>
      <c r="E19" s="7">
        <v>8.5522546000000005E-2</v>
      </c>
      <c r="F19" s="4"/>
      <c r="G19" s="4"/>
      <c r="H19" s="7">
        <v>0.50212869199999999</v>
      </c>
      <c r="I19" s="7">
        <v>0.37382011599999998</v>
      </c>
      <c r="J19" s="4">
        <f t="shared" si="0"/>
        <v>0.43797440399999998</v>
      </c>
      <c r="K19" s="4">
        <v>5</v>
      </c>
      <c r="L19" s="3">
        <v>10</v>
      </c>
      <c r="M19" s="3">
        <f t="shared" si="10"/>
        <v>5.4054054054054053</v>
      </c>
      <c r="N19" s="3">
        <v>1</v>
      </c>
      <c r="O19">
        <f t="shared" si="1"/>
        <v>0.90317746530314091</v>
      </c>
      <c r="P19">
        <f t="shared" si="2"/>
        <v>1.1072021152170373</v>
      </c>
      <c r="Q19">
        <f t="shared" si="3"/>
        <v>65.038876009999996</v>
      </c>
      <c r="R19">
        <f t="shared" si="4"/>
        <v>205.28598524440397</v>
      </c>
      <c r="S19">
        <f t="shared" si="5"/>
        <v>211.4445647916545</v>
      </c>
      <c r="T19">
        <f t="shared" si="6"/>
        <v>199.12740569715342</v>
      </c>
      <c r="U19">
        <f t="shared" si="7"/>
        <v>6.1585795472505254</v>
      </c>
      <c r="V19">
        <f t="shared" si="8"/>
        <v>6.1585795472505538</v>
      </c>
      <c r="W19">
        <f t="shared" si="9"/>
        <v>6.1585795472505396</v>
      </c>
      <c r="BE19" s="64"/>
      <c r="BF19" s="64"/>
      <c r="BG19" s="64"/>
      <c r="BH19" s="8"/>
      <c r="BI19" s="8"/>
      <c r="BJ19" s="64"/>
      <c r="BK19" s="64"/>
    </row>
    <row r="20" spans="1:293">
      <c r="A20" s="9"/>
      <c r="B20" s="4">
        <v>60</v>
      </c>
      <c r="C20" s="7">
        <v>75.760874119999997</v>
      </c>
      <c r="D20" s="7">
        <v>2.7003498010000002</v>
      </c>
      <c r="E20" s="7">
        <v>8.1010494000000002E-2</v>
      </c>
      <c r="F20" s="4"/>
      <c r="G20" s="4"/>
      <c r="H20" s="7">
        <v>0.44429166599999997</v>
      </c>
      <c r="I20" s="7">
        <v>0.32653861699999998</v>
      </c>
      <c r="J20" s="4">
        <f t="shared" si="0"/>
        <v>0.3854151415</v>
      </c>
      <c r="K20" s="4">
        <v>5</v>
      </c>
      <c r="L20" s="3">
        <v>10</v>
      </c>
      <c r="M20" s="3">
        <f t="shared" si="10"/>
        <v>5.4054054054054053</v>
      </c>
      <c r="N20" s="3">
        <v>1</v>
      </c>
      <c r="O20">
        <f t="shared" si="1"/>
        <v>0.90317746530314091</v>
      </c>
      <c r="P20">
        <f t="shared" si="2"/>
        <v>1.1072021152170373</v>
      </c>
      <c r="Q20">
        <f t="shared" si="3"/>
        <v>75.760874119999997</v>
      </c>
      <c r="R20">
        <f t="shared" si="4"/>
        <v>226.51236242354972</v>
      </c>
      <c r="S20">
        <f t="shared" si="5"/>
        <v>233.30773329373972</v>
      </c>
      <c r="T20">
        <f t="shared" si="6"/>
        <v>219.71699155335969</v>
      </c>
      <c r="U20">
        <f t="shared" si="7"/>
        <v>6.7953708701899984</v>
      </c>
      <c r="V20">
        <f t="shared" si="8"/>
        <v>6.7953708701900268</v>
      </c>
      <c r="W20">
        <f t="shared" si="9"/>
        <v>6.7953708701900126</v>
      </c>
      <c r="BE20" s="64"/>
      <c r="BF20" s="64"/>
      <c r="BG20" s="64"/>
      <c r="BH20" s="8"/>
      <c r="BI20" s="8"/>
      <c r="BJ20" s="64"/>
      <c r="BK20" s="64"/>
    </row>
    <row r="21" spans="1:293" s="5" customFormat="1">
      <c r="A21" s="68" t="s">
        <v>83</v>
      </c>
      <c r="B21" s="69">
        <v>82</v>
      </c>
      <c r="C21" s="69">
        <v>0.5</v>
      </c>
      <c r="D21" s="70">
        <v>7.3922653</v>
      </c>
      <c r="E21" s="70">
        <v>0.15</v>
      </c>
      <c r="F21" s="69"/>
      <c r="G21" s="69"/>
      <c r="H21" s="69"/>
      <c r="I21" s="69"/>
      <c r="J21" s="69"/>
      <c r="K21" s="69">
        <v>1</v>
      </c>
      <c r="L21" s="72" t="s">
        <v>29</v>
      </c>
      <c r="M21" s="72" t="s">
        <v>33</v>
      </c>
      <c r="N21" s="69">
        <v>1</v>
      </c>
      <c r="O21" s="73" t="s">
        <v>36</v>
      </c>
      <c r="P21" s="5">
        <v>1</v>
      </c>
      <c r="Q21" s="5">
        <f t="shared" ref="Q21:Q27" si="11">C21</f>
        <v>0.5</v>
      </c>
      <c r="R21" s="5">
        <f t="shared" ref="R21:R27" si="12">C21*D21*P21</f>
        <v>3.69613265</v>
      </c>
      <c r="S21" s="5">
        <f t="shared" si="5"/>
        <v>3.7711326500000002</v>
      </c>
      <c r="T21" s="5">
        <f t="shared" si="6"/>
        <v>3.6211326499999998</v>
      </c>
      <c r="U21" s="5">
        <f t="shared" ref="U21:U27" si="13">(S21-R21)</f>
        <v>7.5000000000000178E-2</v>
      </c>
      <c r="V21" s="5">
        <f t="shared" ref="V21:V27" si="14">(R21-T21)</f>
        <v>7.5000000000000178E-2</v>
      </c>
      <c r="W21" s="5">
        <f t="shared" ref="W21:W27" si="15">(U21+V21)/2</f>
        <v>7.5000000000000178E-2</v>
      </c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64"/>
      <c r="BF21" s="64"/>
      <c r="BG21" s="64"/>
      <c r="BH21" s="8"/>
      <c r="BI21" s="8"/>
      <c r="BJ21" s="64"/>
      <c r="BK21" s="64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</row>
    <row r="22" spans="1:293" s="5" customFormat="1">
      <c r="A22" s="71" t="s">
        <v>84</v>
      </c>
      <c r="B22" s="69">
        <v>82</v>
      </c>
      <c r="C22" s="69">
        <v>1</v>
      </c>
      <c r="D22" s="70">
        <v>7.2430940000000001</v>
      </c>
      <c r="E22" s="70">
        <v>0.15</v>
      </c>
      <c r="F22" s="69"/>
      <c r="G22" s="69"/>
      <c r="H22" s="69"/>
      <c r="I22" s="69"/>
      <c r="J22" s="69"/>
      <c r="K22" s="69">
        <v>1</v>
      </c>
      <c r="L22" s="72" t="s">
        <v>29</v>
      </c>
      <c r="M22" s="72" t="s">
        <v>33</v>
      </c>
      <c r="N22" s="69">
        <v>1</v>
      </c>
      <c r="O22" s="73" t="s">
        <v>36</v>
      </c>
      <c r="P22" s="5">
        <v>1</v>
      </c>
      <c r="Q22" s="5">
        <f t="shared" si="11"/>
        <v>1</v>
      </c>
      <c r="R22" s="5">
        <f t="shared" si="12"/>
        <v>7.2430940000000001</v>
      </c>
      <c r="S22" s="5">
        <f t="shared" si="5"/>
        <v>7.3930940000000005</v>
      </c>
      <c r="T22" s="5">
        <f t="shared" si="6"/>
        <v>7.0930939999999998</v>
      </c>
      <c r="U22" s="5">
        <f t="shared" si="13"/>
        <v>0.15000000000000036</v>
      </c>
      <c r="V22" s="5">
        <f t="shared" si="14"/>
        <v>0.15000000000000036</v>
      </c>
      <c r="W22" s="5">
        <f t="shared" si="15"/>
        <v>0.15000000000000036</v>
      </c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64"/>
      <c r="BF22" s="64"/>
      <c r="BG22" s="64"/>
      <c r="BH22" s="8"/>
      <c r="BI22" s="8"/>
      <c r="BJ22" s="64"/>
      <c r="BK22" s="64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</row>
    <row r="23" spans="1:293" s="5" customFormat="1">
      <c r="A23" s="68"/>
      <c r="B23" s="69">
        <v>82</v>
      </c>
      <c r="C23" s="69">
        <v>3</v>
      </c>
      <c r="D23" s="70">
        <v>6.2320440000000001</v>
      </c>
      <c r="E23" s="70">
        <v>0.15</v>
      </c>
      <c r="F23" s="69"/>
      <c r="G23" s="69"/>
      <c r="H23" s="69"/>
      <c r="I23" s="69"/>
      <c r="J23" s="69"/>
      <c r="K23" s="69">
        <v>1</v>
      </c>
      <c r="L23" s="72" t="s">
        <v>29</v>
      </c>
      <c r="M23" s="72" t="s">
        <v>33</v>
      </c>
      <c r="N23" s="69">
        <v>1</v>
      </c>
      <c r="O23" s="73" t="s">
        <v>36</v>
      </c>
      <c r="P23" s="5">
        <v>1</v>
      </c>
      <c r="Q23" s="5">
        <f t="shared" si="11"/>
        <v>3</v>
      </c>
      <c r="R23" s="5">
        <f t="shared" si="12"/>
        <v>18.696131999999999</v>
      </c>
      <c r="S23" s="5">
        <f t="shared" si="5"/>
        <v>19.146132000000001</v>
      </c>
      <c r="T23" s="5">
        <f t="shared" si="6"/>
        <v>18.246131999999999</v>
      </c>
      <c r="U23" s="5">
        <f t="shared" si="13"/>
        <v>0.45000000000000284</v>
      </c>
      <c r="V23" s="5">
        <f t="shared" si="14"/>
        <v>0.44999999999999929</v>
      </c>
      <c r="W23" s="5">
        <f t="shared" si="15"/>
        <v>0.45000000000000107</v>
      </c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64"/>
      <c r="BF23" s="64"/>
      <c r="BG23" s="64"/>
      <c r="BH23" s="8"/>
      <c r="BI23" s="8"/>
      <c r="BJ23" s="64"/>
      <c r="BK23" s="64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</row>
    <row r="24" spans="1:293" s="5" customFormat="1">
      <c r="A24" s="68"/>
      <c r="B24" s="69">
        <v>82</v>
      </c>
      <c r="C24" s="69">
        <v>6</v>
      </c>
      <c r="D24" s="70">
        <v>5.5027622999999997</v>
      </c>
      <c r="E24" s="70">
        <v>0.15</v>
      </c>
      <c r="F24" s="69"/>
      <c r="G24" s="69"/>
      <c r="H24" s="69"/>
      <c r="I24" s="69"/>
      <c r="J24" s="69"/>
      <c r="K24" s="69">
        <v>1</v>
      </c>
      <c r="L24" s="72" t="s">
        <v>29</v>
      </c>
      <c r="M24" s="72" t="s">
        <v>33</v>
      </c>
      <c r="N24" s="69">
        <v>1</v>
      </c>
      <c r="O24" s="73" t="s">
        <v>36</v>
      </c>
      <c r="P24" s="5">
        <v>1</v>
      </c>
      <c r="Q24" s="5">
        <f t="shared" si="11"/>
        <v>6</v>
      </c>
      <c r="R24" s="5">
        <f t="shared" si="12"/>
        <v>33.016573799999996</v>
      </c>
      <c r="S24" s="5">
        <f t="shared" si="5"/>
        <v>33.916573800000002</v>
      </c>
      <c r="T24" s="5">
        <f t="shared" si="6"/>
        <v>32.116573799999998</v>
      </c>
      <c r="U24" s="5">
        <f t="shared" si="13"/>
        <v>0.90000000000000568</v>
      </c>
      <c r="V24" s="5">
        <f t="shared" si="14"/>
        <v>0.89999999999999858</v>
      </c>
      <c r="W24" s="5">
        <f t="shared" si="15"/>
        <v>0.90000000000000213</v>
      </c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64"/>
      <c r="BF24" s="64"/>
      <c r="BG24" s="64"/>
      <c r="BH24" s="8"/>
      <c r="BI24" s="8"/>
      <c r="BJ24" s="64"/>
      <c r="BK24" s="64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</row>
    <row r="25" spans="1:293" s="5" customFormat="1">
      <c r="A25" s="68"/>
      <c r="B25" s="69">
        <v>82</v>
      </c>
      <c r="C25" s="69">
        <v>10</v>
      </c>
      <c r="D25" s="70">
        <v>5.0883979999999998</v>
      </c>
      <c r="E25" s="70">
        <v>0.15</v>
      </c>
      <c r="F25" s="69"/>
      <c r="G25" s="69"/>
      <c r="H25" s="69"/>
      <c r="I25" s="69"/>
      <c r="J25" s="69"/>
      <c r="K25" s="69">
        <v>1</v>
      </c>
      <c r="L25" s="72" t="s">
        <v>29</v>
      </c>
      <c r="M25" s="72" t="s">
        <v>33</v>
      </c>
      <c r="N25" s="69">
        <v>1</v>
      </c>
      <c r="O25" s="73" t="s">
        <v>36</v>
      </c>
      <c r="P25" s="5">
        <v>1</v>
      </c>
      <c r="Q25" s="5">
        <f t="shared" si="11"/>
        <v>10</v>
      </c>
      <c r="R25" s="5">
        <f t="shared" si="12"/>
        <v>50.883979999999994</v>
      </c>
      <c r="S25" s="5">
        <f t="shared" si="5"/>
        <v>52.383980000000001</v>
      </c>
      <c r="T25" s="5">
        <f t="shared" si="6"/>
        <v>49.383979999999994</v>
      </c>
      <c r="U25" s="5">
        <f t="shared" si="13"/>
        <v>1.5000000000000071</v>
      </c>
      <c r="V25" s="5">
        <f t="shared" si="14"/>
        <v>1.5</v>
      </c>
      <c r="W25" s="5">
        <f t="shared" si="15"/>
        <v>1.5000000000000036</v>
      </c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64"/>
      <c r="BF25" s="64"/>
      <c r="BG25" s="64"/>
      <c r="BH25" s="8"/>
      <c r="BI25" s="8"/>
      <c r="BJ25" s="64"/>
      <c r="BK25" s="64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</row>
    <row r="26" spans="1:293" s="5" customFormat="1">
      <c r="A26" s="68"/>
      <c r="B26" s="69">
        <v>82</v>
      </c>
      <c r="C26" s="69">
        <v>30</v>
      </c>
      <c r="D26" s="70">
        <v>4.2928176000000002</v>
      </c>
      <c r="E26" s="70">
        <v>0.4</v>
      </c>
      <c r="F26" s="69"/>
      <c r="G26" s="69"/>
      <c r="H26" s="69"/>
      <c r="I26" s="69"/>
      <c r="J26" s="69"/>
      <c r="K26" s="69">
        <v>1</v>
      </c>
      <c r="L26" s="72" t="s">
        <v>29</v>
      </c>
      <c r="M26" s="72" t="s">
        <v>33</v>
      </c>
      <c r="N26" s="69">
        <v>1</v>
      </c>
      <c r="O26" s="73" t="s">
        <v>36</v>
      </c>
      <c r="P26" s="5">
        <v>1</v>
      </c>
      <c r="Q26" s="5">
        <f t="shared" si="11"/>
        <v>30</v>
      </c>
      <c r="R26" s="5">
        <f t="shared" si="12"/>
        <v>128.78452799999999</v>
      </c>
      <c r="S26" s="5">
        <f t="shared" si="5"/>
        <v>140.78452800000002</v>
      </c>
      <c r="T26" s="5">
        <f t="shared" si="6"/>
        <v>116.78452800000001</v>
      </c>
      <c r="U26" s="5">
        <f t="shared" si="13"/>
        <v>12.000000000000028</v>
      </c>
      <c r="V26" s="5">
        <f t="shared" si="14"/>
        <v>11.999999999999986</v>
      </c>
      <c r="W26" s="5">
        <f t="shared" si="15"/>
        <v>12.000000000000007</v>
      </c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64"/>
      <c r="BF26" s="64"/>
      <c r="BG26" s="64"/>
      <c r="BH26" s="8"/>
      <c r="BI26" s="8"/>
      <c r="BJ26" s="64"/>
      <c r="BK26" s="64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</row>
    <row r="27" spans="1:293" s="5" customFormat="1">
      <c r="A27" s="68"/>
      <c r="B27" s="69">
        <v>82</v>
      </c>
      <c r="C27" s="69">
        <v>50</v>
      </c>
      <c r="D27" s="70">
        <v>3.9944750999999998</v>
      </c>
      <c r="E27" s="70">
        <v>0.65</v>
      </c>
      <c r="F27" s="69"/>
      <c r="G27" s="69"/>
      <c r="H27" s="69"/>
      <c r="I27" s="69"/>
      <c r="J27" s="69"/>
      <c r="K27" s="69">
        <v>1</v>
      </c>
      <c r="L27" s="72" t="s">
        <v>29</v>
      </c>
      <c r="M27" s="72" t="s">
        <v>33</v>
      </c>
      <c r="N27" s="69">
        <v>1</v>
      </c>
      <c r="O27" s="73" t="s">
        <v>36</v>
      </c>
      <c r="P27" s="5">
        <v>1</v>
      </c>
      <c r="Q27" s="5">
        <f t="shared" si="11"/>
        <v>50</v>
      </c>
      <c r="R27" s="5">
        <f t="shared" si="12"/>
        <v>199.72375499999998</v>
      </c>
      <c r="S27" s="5">
        <f t="shared" si="5"/>
        <v>232.22375500000001</v>
      </c>
      <c r="T27" s="5">
        <f t="shared" si="6"/>
        <v>167.22375499999998</v>
      </c>
      <c r="U27" s="5">
        <f t="shared" si="13"/>
        <v>32.500000000000028</v>
      </c>
      <c r="V27" s="5">
        <f t="shared" si="14"/>
        <v>32.5</v>
      </c>
      <c r="W27" s="5">
        <f t="shared" si="15"/>
        <v>32.500000000000014</v>
      </c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64"/>
      <c r="BF27" s="64"/>
      <c r="BG27" s="64"/>
      <c r="BH27" s="8"/>
      <c r="BI27" s="8"/>
      <c r="BJ27" s="64"/>
      <c r="BK27" s="64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</row>
    <row r="28" spans="1:293" s="20" customFormat="1">
      <c r="A28" s="18" t="s">
        <v>4</v>
      </c>
      <c r="B28" s="19">
        <v>100</v>
      </c>
      <c r="C28" s="19">
        <v>35</v>
      </c>
      <c r="D28" s="19">
        <v>3.4154</v>
      </c>
      <c r="E28" s="19">
        <v>0.12659999999999999</v>
      </c>
      <c r="F28" s="19"/>
      <c r="G28" s="19"/>
      <c r="H28" s="19"/>
      <c r="I28" s="19"/>
      <c r="J28" s="19"/>
      <c r="K28" s="19">
        <v>40</v>
      </c>
      <c r="L28" s="19">
        <v>10</v>
      </c>
      <c r="M28" s="19">
        <f t="shared" si="10"/>
        <v>5.4054054054054053</v>
      </c>
      <c r="N28" s="19">
        <v>1</v>
      </c>
      <c r="O28" s="20">
        <f t="shared" si="1"/>
        <v>0.90317746530314091</v>
      </c>
      <c r="P28" s="20">
        <f t="shared" si="2"/>
        <v>1.1072021152170373</v>
      </c>
      <c r="Q28" s="21">
        <v>33.85829408</v>
      </c>
      <c r="R28" s="20">
        <f t="shared" si="4"/>
        <v>132.35383365092943</v>
      </c>
      <c r="S28" s="20">
        <f t="shared" si="5"/>
        <v>137.25984622345612</v>
      </c>
      <c r="T28" s="20">
        <f t="shared" si="6"/>
        <v>127.44782107840273</v>
      </c>
      <c r="U28">
        <f t="shared" si="7"/>
        <v>4.9060125725266914</v>
      </c>
      <c r="V28">
        <f t="shared" si="8"/>
        <v>4.9060125725267056</v>
      </c>
      <c r="W28">
        <f t="shared" si="9"/>
        <v>4.9060125725266985</v>
      </c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64"/>
      <c r="BF28" s="64"/>
      <c r="BG28" s="64"/>
      <c r="BH28" s="8"/>
      <c r="BI28" s="8"/>
      <c r="BJ28" s="64"/>
      <c r="BK28" s="64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</row>
    <row r="29" spans="1:293" s="20" customFormat="1">
      <c r="A29" s="65" t="s">
        <v>64</v>
      </c>
      <c r="B29" s="19">
        <v>100</v>
      </c>
      <c r="C29" s="19">
        <f>C28+10</f>
        <v>45</v>
      </c>
      <c r="D29" s="19">
        <v>3.1896</v>
      </c>
      <c r="E29" s="19">
        <v>0.12659999999999999</v>
      </c>
      <c r="F29" s="19"/>
      <c r="G29" s="19"/>
      <c r="H29" s="19"/>
      <c r="I29" s="19"/>
      <c r="J29" s="19"/>
      <c r="K29" s="19">
        <v>40</v>
      </c>
      <c r="L29" s="19">
        <v>10</v>
      </c>
      <c r="M29" s="19">
        <f t="shared" si="10"/>
        <v>5.4054054054054053</v>
      </c>
      <c r="N29" s="19">
        <v>1</v>
      </c>
      <c r="O29" s="20">
        <f t="shared" si="1"/>
        <v>0.90317746530314091</v>
      </c>
      <c r="P29" s="20">
        <f t="shared" si="2"/>
        <v>1.1072021152170373</v>
      </c>
      <c r="Q29" s="21">
        <v>42.448157790000003</v>
      </c>
      <c r="R29" s="20">
        <f t="shared" si="4"/>
        <v>158.91893400133179</v>
      </c>
      <c r="S29" s="20">
        <f t="shared" si="5"/>
        <v>165.22666445172322</v>
      </c>
      <c r="T29" s="20">
        <f t="shared" si="6"/>
        <v>152.61120355094033</v>
      </c>
      <c r="U29">
        <f t="shared" si="7"/>
        <v>6.307730450391432</v>
      </c>
      <c r="V29">
        <f t="shared" si="8"/>
        <v>6.3077304503914604</v>
      </c>
      <c r="W29">
        <f t="shared" si="9"/>
        <v>6.3077304503914462</v>
      </c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64"/>
      <c r="BF29" s="64"/>
      <c r="BG29" s="64"/>
      <c r="BH29" s="8"/>
      <c r="BI29" s="8"/>
      <c r="BJ29" s="64"/>
      <c r="BK29" s="64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</row>
    <row r="30" spans="1:293" s="20" customFormat="1">
      <c r="A30" s="65" t="s">
        <v>68</v>
      </c>
      <c r="B30" s="19">
        <v>100</v>
      </c>
      <c r="C30" s="19">
        <f t="shared" ref="C30:C35" si="16">C29+10</f>
        <v>55</v>
      </c>
      <c r="D30" s="19">
        <v>2.9220999999999999</v>
      </c>
      <c r="E30" s="19">
        <v>0.12659999999999999</v>
      </c>
      <c r="F30" s="19"/>
      <c r="G30" s="19"/>
      <c r="H30" s="19"/>
      <c r="I30" s="19"/>
      <c r="J30" s="19"/>
      <c r="K30" s="19">
        <v>40</v>
      </c>
      <c r="L30" s="19">
        <v>10</v>
      </c>
      <c r="M30" s="19">
        <f t="shared" si="10"/>
        <v>5.4054054054054053</v>
      </c>
      <c r="N30" s="19">
        <v>1</v>
      </c>
      <c r="O30" s="20">
        <f t="shared" si="1"/>
        <v>0.90317746530314091</v>
      </c>
      <c r="P30" s="20">
        <f t="shared" si="2"/>
        <v>1.1072021152170373</v>
      </c>
      <c r="Q30" s="21">
        <v>50.842964289999998</v>
      </c>
      <c r="R30" s="20">
        <f t="shared" si="4"/>
        <v>177.94454154816376</v>
      </c>
      <c r="S30" s="20">
        <f t="shared" si="5"/>
        <v>185.65398987641996</v>
      </c>
      <c r="T30" s="20">
        <f t="shared" si="6"/>
        <v>170.23509321990753</v>
      </c>
      <c r="U30">
        <f t="shared" si="7"/>
        <v>7.709448328256201</v>
      </c>
      <c r="V30">
        <f t="shared" si="8"/>
        <v>7.7094483282562294</v>
      </c>
      <c r="W30">
        <f t="shared" si="9"/>
        <v>7.7094483282562152</v>
      </c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64"/>
      <c r="BF30" s="64"/>
      <c r="BG30" s="64"/>
      <c r="BH30" s="8"/>
      <c r="BI30" s="8"/>
      <c r="BJ30" s="64"/>
      <c r="BK30" s="64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</row>
    <row r="31" spans="1:293" s="20" customFormat="1">
      <c r="A31" s="18"/>
      <c r="B31" s="19">
        <v>100</v>
      </c>
      <c r="C31" s="19">
        <f t="shared" si="16"/>
        <v>65</v>
      </c>
      <c r="D31" s="19">
        <v>2.6962999999999999</v>
      </c>
      <c r="E31" s="19">
        <v>0.12659999999999999</v>
      </c>
      <c r="F31" s="19"/>
      <c r="G31" s="19"/>
      <c r="H31" s="19"/>
      <c r="I31" s="19"/>
      <c r="J31" s="19"/>
      <c r="K31" s="19">
        <v>40</v>
      </c>
      <c r="L31" s="19">
        <v>10</v>
      </c>
      <c r="M31" s="19">
        <f t="shared" si="10"/>
        <v>5.4054054054054053</v>
      </c>
      <c r="N31" s="19">
        <v>1</v>
      </c>
      <c r="O31" s="20">
        <f t="shared" si="1"/>
        <v>0.90317746530314091</v>
      </c>
      <c r="P31" s="20">
        <f t="shared" si="2"/>
        <v>1.1072021152170373</v>
      </c>
      <c r="Q31" s="21">
        <v>59.082076579999999</v>
      </c>
      <c r="R31" s="20">
        <f t="shared" si="4"/>
        <v>194.04768911188035</v>
      </c>
      <c r="S31" s="20">
        <f t="shared" si="5"/>
        <v>203.15885531800132</v>
      </c>
      <c r="T31" s="20">
        <f t="shared" si="6"/>
        <v>184.93652290575938</v>
      </c>
      <c r="U31">
        <f t="shared" si="7"/>
        <v>9.1111662061209699</v>
      </c>
      <c r="V31">
        <f t="shared" si="8"/>
        <v>9.1111662061209699</v>
      </c>
      <c r="W31">
        <f t="shared" si="9"/>
        <v>9.1111662061209699</v>
      </c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64"/>
      <c r="BF31" s="64"/>
      <c r="BG31" s="64"/>
      <c r="BH31" s="8"/>
      <c r="BI31" s="8"/>
      <c r="BJ31" s="64"/>
      <c r="BK31" s="64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  <c r="JB31" s="33"/>
      <c r="JC31" s="33"/>
      <c r="JD31" s="33"/>
      <c r="JE31" s="33"/>
      <c r="JF31" s="33"/>
      <c r="JG31" s="33"/>
      <c r="JH31" s="33"/>
      <c r="JI31" s="33"/>
      <c r="JJ31" s="33"/>
      <c r="JK31" s="33"/>
      <c r="JL31" s="33"/>
      <c r="JM31" s="33"/>
      <c r="JN31" s="33"/>
      <c r="JO31" s="33"/>
      <c r="JP31" s="33"/>
      <c r="JQ31" s="33"/>
      <c r="JR31" s="33"/>
      <c r="JS31" s="33"/>
      <c r="JT31" s="33"/>
      <c r="JU31" s="33"/>
      <c r="JV31" s="33"/>
      <c r="JW31" s="33"/>
      <c r="JX31" s="33"/>
      <c r="JY31" s="33"/>
      <c r="JZ31" s="33"/>
      <c r="KA31" s="33"/>
      <c r="KB31" s="33"/>
      <c r="KC31" s="33"/>
      <c r="KD31" s="33"/>
      <c r="KE31" s="33"/>
      <c r="KF31" s="33"/>
      <c r="KG31" s="33"/>
    </row>
    <row r="32" spans="1:293" s="20" customFormat="1">
      <c r="A32" s="18"/>
      <c r="B32" s="19">
        <v>100</v>
      </c>
      <c r="C32" s="19">
        <f t="shared" si="16"/>
        <v>75</v>
      </c>
      <c r="D32" s="19">
        <v>2.5537999999999998</v>
      </c>
      <c r="E32" s="19">
        <v>0.12659999999999999</v>
      </c>
      <c r="F32" s="19"/>
      <c r="G32" s="19"/>
      <c r="H32" s="19"/>
      <c r="I32" s="19"/>
      <c r="J32" s="19"/>
      <c r="K32" s="19">
        <v>40</v>
      </c>
      <c r="L32" s="19">
        <v>10</v>
      </c>
      <c r="M32" s="19">
        <f t="shared" si="10"/>
        <v>5.4054054054054053</v>
      </c>
      <c r="N32" s="19">
        <v>1</v>
      </c>
      <c r="O32" s="20">
        <f t="shared" si="1"/>
        <v>0.90317746530314091</v>
      </c>
      <c r="P32" s="20">
        <f t="shared" si="2"/>
        <v>1.1072021152170373</v>
      </c>
      <c r="Q32" s="21">
        <v>67.191999589999995</v>
      </c>
      <c r="R32" s="20">
        <f t="shared" si="4"/>
        <v>212.06795713809524</v>
      </c>
      <c r="S32" s="20">
        <f t="shared" si="5"/>
        <v>222.58084122208098</v>
      </c>
      <c r="T32" s="20">
        <f t="shared" si="6"/>
        <v>201.55507305410944</v>
      </c>
      <c r="U32">
        <f t="shared" si="7"/>
        <v>10.512884083985739</v>
      </c>
      <c r="V32">
        <f t="shared" si="8"/>
        <v>10.512884083985796</v>
      </c>
      <c r="W32">
        <f t="shared" si="9"/>
        <v>10.512884083985767</v>
      </c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64"/>
      <c r="BF32" s="64"/>
      <c r="BG32" s="64"/>
      <c r="BH32" s="64"/>
      <c r="BI32" s="64"/>
      <c r="BJ32" s="64"/>
      <c r="BK32" s="64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  <c r="JB32" s="33"/>
      <c r="JC32" s="33"/>
      <c r="JD32" s="33"/>
      <c r="JE32" s="33"/>
      <c r="JF32" s="33"/>
      <c r="JG32" s="33"/>
      <c r="JH32" s="33"/>
      <c r="JI32" s="33"/>
      <c r="JJ32" s="33"/>
      <c r="JK32" s="33"/>
      <c r="JL32" s="33"/>
      <c r="JM32" s="33"/>
      <c r="JN32" s="33"/>
      <c r="JO32" s="33"/>
      <c r="JP32" s="33"/>
      <c r="JQ32" s="33"/>
      <c r="JR32" s="33"/>
      <c r="JS32" s="33"/>
      <c r="JT32" s="33"/>
      <c r="JU32" s="33"/>
      <c r="JV32" s="33"/>
      <c r="JW32" s="33"/>
      <c r="JX32" s="33"/>
      <c r="JY32" s="33"/>
      <c r="JZ32" s="33"/>
      <c r="KA32" s="33"/>
      <c r="KB32" s="33"/>
      <c r="KC32" s="33"/>
      <c r="KD32" s="33"/>
      <c r="KE32" s="33"/>
      <c r="KF32" s="33"/>
      <c r="KG32" s="33"/>
    </row>
    <row r="33" spans="1:293" s="20" customFormat="1">
      <c r="A33" s="18"/>
      <c r="B33" s="19">
        <v>100</v>
      </c>
      <c r="C33" s="19">
        <f t="shared" si="16"/>
        <v>85</v>
      </c>
      <c r="D33" s="19">
        <v>2.3778999999999999</v>
      </c>
      <c r="E33" s="19">
        <v>0.12659999999999999</v>
      </c>
      <c r="F33" s="19"/>
      <c r="G33" s="19"/>
      <c r="H33" s="19"/>
      <c r="I33" s="19"/>
      <c r="J33" s="19"/>
      <c r="K33" s="19">
        <v>40</v>
      </c>
      <c r="L33" s="19">
        <v>10</v>
      </c>
      <c r="M33" s="19">
        <f t="shared" si="10"/>
        <v>5.4054054054054053</v>
      </c>
      <c r="N33" s="19">
        <v>1</v>
      </c>
      <c r="O33" s="20">
        <f t="shared" si="1"/>
        <v>0.90317746530314091</v>
      </c>
      <c r="P33" s="20">
        <f t="shared" si="2"/>
        <v>1.1072021152170373</v>
      </c>
      <c r="Q33" s="21">
        <v>75.191760790000004</v>
      </c>
      <c r="R33" s="20">
        <f t="shared" si="4"/>
        <v>223.78935233084039</v>
      </c>
      <c r="S33" s="20">
        <f t="shared" si="5"/>
        <v>235.7039542926909</v>
      </c>
      <c r="T33" s="20">
        <f t="shared" si="6"/>
        <v>211.87475036898985</v>
      </c>
      <c r="U33">
        <f t="shared" si="7"/>
        <v>11.914601961850508</v>
      </c>
      <c r="V33">
        <f t="shared" si="8"/>
        <v>11.914601961850536</v>
      </c>
      <c r="W33">
        <f t="shared" si="9"/>
        <v>11.914601961850522</v>
      </c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64"/>
      <c r="BF33" s="64"/>
      <c r="BG33" s="64"/>
      <c r="BH33" s="64"/>
      <c r="BI33" s="64"/>
      <c r="BJ33" s="64"/>
      <c r="BK33" s="64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  <c r="JB33" s="33"/>
      <c r="JC33" s="33"/>
      <c r="JD33" s="33"/>
      <c r="JE33" s="33"/>
      <c r="JF33" s="33"/>
      <c r="JG33" s="33"/>
      <c r="JH33" s="33"/>
      <c r="JI33" s="33"/>
      <c r="JJ33" s="33"/>
      <c r="JK33" s="33"/>
      <c r="JL33" s="33"/>
      <c r="JM33" s="33"/>
      <c r="JN33" s="33"/>
      <c r="JO33" s="33"/>
      <c r="JP33" s="33"/>
      <c r="JQ33" s="33"/>
      <c r="JR33" s="33"/>
      <c r="JS33" s="33"/>
      <c r="JT33" s="33"/>
      <c r="JU33" s="33"/>
      <c r="JV33" s="33"/>
      <c r="JW33" s="33"/>
      <c r="JX33" s="33"/>
      <c r="JY33" s="33"/>
      <c r="JZ33" s="33"/>
      <c r="KA33" s="33"/>
      <c r="KB33" s="33"/>
      <c r="KC33" s="33"/>
      <c r="KD33" s="33"/>
      <c r="KE33" s="33"/>
      <c r="KF33" s="33"/>
      <c r="KG33" s="33"/>
    </row>
    <row r="34" spans="1:293" s="20" customFormat="1">
      <c r="A34" s="18"/>
      <c r="B34" s="19">
        <v>100</v>
      </c>
      <c r="C34" s="19">
        <f t="shared" si="16"/>
        <v>95</v>
      </c>
      <c r="D34" s="19">
        <v>2.3271000000000002</v>
      </c>
      <c r="E34" s="19">
        <v>0.12659999999999999</v>
      </c>
      <c r="F34" s="19"/>
      <c r="G34" s="19"/>
      <c r="H34" s="19"/>
      <c r="I34" s="19"/>
      <c r="J34" s="19"/>
      <c r="K34" s="19">
        <v>40</v>
      </c>
      <c r="L34" s="19">
        <v>10</v>
      </c>
      <c r="M34" s="19">
        <f t="shared" si="10"/>
        <v>5.4054054054054053</v>
      </c>
      <c r="N34" s="19">
        <v>1</v>
      </c>
      <c r="O34" s="20">
        <f t="shared" si="1"/>
        <v>0.90317746530314091</v>
      </c>
      <c r="P34" s="20">
        <f t="shared" si="2"/>
        <v>1.1072021152170373</v>
      </c>
      <c r="Q34" s="21">
        <v>83.095661190000001</v>
      </c>
      <c r="R34" s="20">
        <f t="shared" si="4"/>
        <v>244.77415402054893</v>
      </c>
      <c r="S34" s="20">
        <f t="shared" si="5"/>
        <v>258.09047386026418</v>
      </c>
      <c r="T34" s="20">
        <f t="shared" si="6"/>
        <v>231.45783418083366</v>
      </c>
      <c r="U34">
        <f t="shared" si="7"/>
        <v>13.316319839715248</v>
      </c>
      <c r="V34">
        <f t="shared" si="8"/>
        <v>13.316319839715277</v>
      </c>
      <c r="W34">
        <f t="shared" si="9"/>
        <v>13.316319839715263</v>
      </c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  <c r="JB34" s="33"/>
      <c r="JC34" s="33"/>
      <c r="JD34" s="33"/>
      <c r="JE34" s="33"/>
      <c r="JF34" s="33"/>
      <c r="JG34" s="33"/>
      <c r="JH34" s="33"/>
      <c r="JI34" s="33"/>
      <c r="JJ34" s="33"/>
      <c r="JK34" s="33"/>
      <c r="JL34" s="33"/>
      <c r="JM34" s="33"/>
      <c r="JN34" s="33"/>
      <c r="JO34" s="33"/>
      <c r="JP34" s="33"/>
      <c r="JQ34" s="33"/>
      <c r="JR34" s="33"/>
      <c r="JS34" s="33"/>
      <c r="JT34" s="33"/>
      <c r="JU34" s="33"/>
      <c r="JV34" s="33"/>
      <c r="JW34" s="33"/>
      <c r="JX34" s="33"/>
      <c r="JY34" s="33"/>
      <c r="JZ34" s="33"/>
      <c r="KA34" s="33"/>
      <c r="KB34" s="33"/>
      <c r="KC34" s="33"/>
      <c r="KD34" s="33"/>
      <c r="KE34" s="33"/>
      <c r="KF34" s="33"/>
      <c r="KG34" s="33"/>
    </row>
    <row r="35" spans="1:293" s="20" customFormat="1">
      <c r="A35" s="18"/>
      <c r="B35" s="19">
        <v>100</v>
      </c>
      <c r="C35" s="19">
        <f t="shared" si="16"/>
        <v>105</v>
      </c>
      <c r="D35" s="19">
        <v>2.2345999999999999</v>
      </c>
      <c r="E35" s="19">
        <v>0.12659999999999999</v>
      </c>
      <c r="F35" s="19"/>
      <c r="G35" s="19"/>
      <c r="H35" s="19"/>
      <c r="I35" s="19"/>
      <c r="J35" s="19"/>
      <c r="K35" s="19">
        <v>40</v>
      </c>
      <c r="L35" s="19">
        <v>10</v>
      </c>
      <c r="M35" s="19">
        <f t="shared" si="10"/>
        <v>5.4054054054054053</v>
      </c>
      <c r="N35" s="19">
        <v>1</v>
      </c>
      <c r="O35" s="20">
        <f t="shared" si="1"/>
        <v>0.90317746530314091</v>
      </c>
      <c r="P35" s="20">
        <f t="shared" si="2"/>
        <v>1.1072021152170373</v>
      </c>
      <c r="Q35" s="21">
        <v>90.914827759999994</v>
      </c>
      <c r="R35" s="20">
        <f t="shared" si="4"/>
        <v>259.78615389971907</v>
      </c>
      <c r="S35" s="20">
        <f t="shared" si="5"/>
        <v>274.50419161729911</v>
      </c>
      <c r="T35" s="20">
        <f t="shared" si="6"/>
        <v>245.06811618213902</v>
      </c>
      <c r="U35">
        <f t="shared" si="7"/>
        <v>14.718037717580046</v>
      </c>
      <c r="V35">
        <f t="shared" si="8"/>
        <v>14.718037717580046</v>
      </c>
      <c r="W35">
        <f t="shared" si="9"/>
        <v>14.718037717580046</v>
      </c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  <c r="JA35" s="33"/>
      <c r="JB35" s="33"/>
      <c r="JC35" s="33"/>
      <c r="JD35" s="33"/>
      <c r="JE35" s="33"/>
      <c r="JF35" s="33"/>
      <c r="JG35" s="33"/>
      <c r="JH35" s="33"/>
      <c r="JI35" s="33"/>
      <c r="JJ35" s="33"/>
      <c r="JK35" s="33"/>
      <c r="JL35" s="33"/>
      <c r="JM35" s="33"/>
      <c r="JN35" s="33"/>
      <c r="JO35" s="33"/>
      <c r="JP35" s="33"/>
      <c r="JQ35" s="33"/>
      <c r="JR35" s="33"/>
      <c r="JS35" s="33"/>
      <c r="JT35" s="33"/>
      <c r="JU35" s="33"/>
      <c r="JV35" s="33"/>
      <c r="JW35" s="33"/>
      <c r="JX35" s="33"/>
      <c r="JY35" s="33"/>
      <c r="JZ35" s="33"/>
      <c r="KA35" s="33"/>
      <c r="KB35" s="33"/>
      <c r="KC35" s="33"/>
      <c r="KD35" s="33"/>
      <c r="KE35" s="33"/>
      <c r="KF35" s="33"/>
      <c r="KG35" s="33"/>
    </row>
    <row r="36" spans="1:293" s="20" customFormat="1">
      <c r="A36" s="18"/>
      <c r="B36" s="19">
        <v>100</v>
      </c>
      <c r="C36" s="19">
        <f>C35+10</f>
        <v>115</v>
      </c>
      <c r="D36" s="19">
        <v>2.0171000000000001</v>
      </c>
      <c r="E36" s="19">
        <v>0.12659999999999999</v>
      </c>
      <c r="F36" s="19"/>
      <c r="G36" s="19"/>
      <c r="H36" s="19"/>
      <c r="I36" s="19"/>
      <c r="J36" s="19"/>
      <c r="K36" s="19">
        <v>40</v>
      </c>
      <c r="L36" s="19">
        <v>10</v>
      </c>
      <c r="M36" s="19">
        <f t="shared" si="10"/>
        <v>5.4054054054054053</v>
      </c>
      <c r="N36" s="19">
        <v>1</v>
      </c>
      <c r="O36" s="20">
        <f t="shared" si="1"/>
        <v>0.90317746530314091</v>
      </c>
      <c r="P36" s="20">
        <f t="shared" si="2"/>
        <v>1.1072021152170373</v>
      </c>
      <c r="Q36" s="21">
        <v>98.658155179999994</v>
      </c>
      <c r="R36" s="20">
        <f t="shared" si="4"/>
        <v>256.83379945949292</v>
      </c>
      <c r="S36" s="20">
        <f t="shared" si="5"/>
        <v>272.95355505493774</v>
      </c>
      <c r="T36" s="20">
        <f t="shared" si="6"/>
        <v>240.71404386404802</v>
      </c>
      <c r="U36">
        <f t="shared" si="7"/>
        <v>16.119755595444815</v>
      </c>
      <c r="V36">
        <f t="shared" si="8"/>
        <v>16.1197555954449</v>
      </c>
      <c r="W36">
        <f t="shared" si="9"/>
        <v>16.119755595444857</v>
      </c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8"/>
      <c r="BG36" s="8"/>
      <c r="BH36" s="8"/>
      <c r="BI36" s="33"/>
      <c r="BJ36" s="33"/>
      <c r="BK36" s="33"/>
      <c r="BL36" s="33"/>
      <c r="BM36" s="33"/>
      <c r="BN36" s="33"/>
      <c r="BO36" s="33"/>
      <c r="BP36" s="33"/>
      <c r="BQ36" s="33"/>
      <c r="BR36" s="4"/>
      <c r="BS36" s="4"/>
      <c r="BT36" s="33"/>
      <c r="BU36" s="8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  <c r="JB36" s="33"/>
      <c r="JC36" s="33"/>
      <c r="JD36" s="33"/>
      <c r="JE36" s="33"/>
      <c r="JF36" s="33"/>
      <c r="JG36" s="33"/>
      <c r="JH36" s="33"/>
      <c r="JI36" s="33"/>
      <c r="JJ36" s="33"/>
      <c r="JK36" s="33"/>
      <c r="JL36" s="33"/>
      <c r="JM36" s="33"/>
      <c r="JN36" s="33"/>
      <c r="JO36" s="33"/>
      <c r="JP36" s="33"/>
      <c r="JQ36" s="33"/>
      <c r="JR36" s="33"/>
      <c r="JS36" s="33"/>
      <c r="JT36" s="33"/>
      <c r="JU36" s="33"/>
      <c r="JV36" s="33"/>
      <c r="JW36" s="33"/>
      <c r="JX36" s="33"/>
      <c r="JY36" s="33"/>
      <c r="JZ36" s="33"/>
      <c r="KA36" s="33"/>
      <c r="KB36" s="33"/>
      <c r="KC36" s="33"/>
      <c r="KD36" s="33"/>
      <c r="KE36" s="33"/>
      <c r="KF36" s="33"/>
      <c r="KG36" s="33"/>
    </row>
    <row r="37" spans="1:293">
      <c r="A37" s="1" t="s">
        <v>20</v>
      </c>
      <c r="B37" s="4">
        <v>116.7</v>
      </c>
      <c r="C37" s="3">
        <v>2</v>
      </c>
      <c r="D37" s="3">
        <v>6.7815013000000004</v>
      </c>
      <c r="E37" s="4">
        <v>0.14000000000000001</v>
      </c>
      <c r="F37" s="4"/>
      <c r="G37" s="4"/>
      <c r="H37" s="4"/>
      <c r="I37" s="4"/>
      <c r="J37" s="4"/>
      <c r="K37" s="3">
        <v>7.5</v>
      </c>
      <c r="L37" s="14" t="s">
        <v>29</v>
      </c>
      <c r="M37" s="14" t="s">
        <v>33</v>
      </c>
      <c r="N37" s="3">
        <v>0.96</v>
      </c>
      <c r="O37" s="16" t="s">
        <v>36</v>
      </c>
      <c r="P37">
        <v>1</v>
      </c>
      <c r="Q37">
        <f t="shared" ref="Q37:Q44" si="17">C37</f>
        <v>2</v>
      </c>
      <c r="R37">
        <f t="shared" si="4"/>
        <v>13.563002600000001</v>
      </c>
      <c r="S37">
        <f t="shared" si="5"/>
        <v>13.8430026</v>
      </c>
      <c r="T37">
        <f t="shared" si="6"/>
        <v>13.283002600000001</v>
      </c>
      <c r="U37">
        <f t="shared" si="7"/>
        <v>0.27999999999999936</v>
      </c>
      <c r="V37">
        <f t="shared" si="8"/>
        <v>0.27999999999999936</v>
      </c>
      <c r="W37">
        <f t="shared" si="9"/>
        <v>0.27999999999999936</v>
      </c>
      <c r="BF37" s="8"/>
      <c r="BG37" s="8"/>
      <c r="BH37" s="8"/>
      <c r="BR37" s="4"/>
      <c r="BS37" s="4"/>
      <c r="BU37" s="8"/>
    </row>
    <row r="38" spans="1:293">
      <c r="A38" s="65" t="s">
        <v>66</v>
      </c>
      <c r="B38" s="4">
        <v>116.7</v>
      </c>
      <c r="C38" s="3">
        <v>2.77</v>
      </c>
      <c r="D38" s="3">
        <v>6.4570904000000002</v>
      </c>
      <c r="E38" s="4">
        <v>0.14000000000000001</v>
      </c>
      <c r="F38" s="4"/>
      <c r="G38" s="4"/>
      <c r="H38" s="4"/>
      <c r="I38" s="4"/>
      <c r="J38" s="4"/>
      <c r="K38" s="3">
        <v>7.5</v>
      </c>
      <c r="L38" s="14" t="s">
        <v>29</v>
      </c>
      <c r="M38" s="14" t="s">
        <v>33</v>
      </c>
      <c r="N38" s="3">
        <v>0.96</v>
      </c>
      <c r="O38" s="16" t="s">
        <v>36</v>
      </c>
      <c r="P38">
        <v>1</v>
      </c>
      <c r="Q38">
        <f t="shared" si="17"/>
        <v>2.77</v>
      </c>
      <c r="R38">
        <f t="shared" si="4"/>
        <v>17.886140407999999</v>
      </c>
      <c r="S38">
        <f t="shared" si="5"/>
        <v>18.273940408000001</v>
      </c>
      <c r="T38">
        <f t="shared" si="6"/>
        <v>17.498340408000001</v>
      </c>
      <c r="U38">
        <f t="shared" si="7"/>
        <v>0.38780000000000214</v>
      </c>
      <c r="V38">
        <f t="shared" si="8"/>
        <v>0.38779999999999859</v>
      </c>
      <c r="W38">
        <f t="shared" si="9"/>
        <v>0.38780000000000037</v>
      </c>
      <c r="BF38" s="8"/>
      <c r="BG38" s="8"/>
      <c r="BH38" s="8"/>
      <c r="BR38" s="4"/>
      <c r="BS38" s="4"/>
      <c r="BU38" s="8"/>
    </row>
    <row r="39" spans="1:293">
      <c r="A39" s="1" t="s">
        <v>67</v>
      </c>
      <c r="B39" s="4">
        <v>116.7</v>
      </c>
      <c r="C39" s="3">
        <v>3.86</v>
      </c>
      <c r="D39" s="3">
        <v>6.0790410000000001</v>
      </c>
      <c r="E39" s="4">
        <v>0.13</v>
      </c>
      <c r="F39" s="4"/>
      <c r="G39" s="4"/>
      <c r="H39" s="4"/>
      <c r="I39" s="4"/>
      <c r="J39" s="4"/>
      <c r="K39" s="3">
        <v>7.5</v>
      </c>
      <c r="L39" s="14" t="s">
        <v>29</v>
      </c>
      <c r="M39" s="14" t="s">
        <v>33</v>
      </c>
      <c r="N39" s="3">
        <v>0.96</v>
      </c>
      <c r="O39" s="16" t="s">
        <v>36</v>
      </c>
      <c r="P39">
        <v>1</v>
      </c>
      <c r="Q39">
        <f t="shared" si="17"/>
        <v>3.86</v>
      </c>
      <c r="R39">
        <f t="shared" si="4"/>
        <v>23.465098260000001</v>
      </c>
      <c r="S39">
        <f t="shared" si="5"/>
        <v>23.966898260000001</v>
      </c>
      <c r="T39">
        <f t="shared" si="6"/>
        <v>22.963298260000002</v>
      </c>
      <c r="U39">
        <f t="shared" si="7"/>
        <v>0.50179999999999936</v>
      </c>
      <c r="V39">
        <f t="shared" si="8"/>
        <v>0.50179999999999936</v>
      </c>
      <c r="W39">
        <f t="shared" si="9"/>
        <v>0.50179999999999936</v>
      </c>
      <c r="BF39" s="8"/>
      <c r="BG39" s="8"/>
      <c r="BH39" s="8"/>
      <c r="BR39" s="4"/>
      <c r="BS39" s="4"/>
      <c r="BU39" s="8"/>
    </row>
    <row r="40" spans="1:293">
      <c r="A40" s="1"/>
      <c r="B40" s="4">
        <v>116.7</v>
      </c>
      <c r="C40" s="3">
        <v>5.55</v>
      </c>
      <c r="D40" s="3">
        <v>5.6801266999999998</v>
      </c>
      <c r="E40" s="4">
        <v>0.12</v>
      </c>
      <c r="F40" s="4"/>
      <c r="G40" s="4"/>
      <c r="H40" s="4"/>
      <c r="I40" s="4"/>
      <c r="J40" s="4"/>
      <c r="K40" s="3">
        <v>7.5</v>
      </c>
      <c r="L40" s="14" t="s">
        <v>29</v>
      </c>
      <c r="M40" s="14" t="s">
        <v>33</v>
      </c>
      <c r="N40" s="3">
        <v>0.96</v>
      </c>
      <c r="O40" s="16" t="s">
        <v>36</v>
      </c>
      <c r="P40">
        <v>1</v>
      </c>
      <c r="Q40">
        <f t="shared" si="17"/>
        <v>5.55</v>
      </c>
      <c r="R40">
        <f t="shared" si="4"/>
        <v>31.524703184999996</v>
      </c>
      <c r="S40">
        <f t="shared" si="5"/>
        <v>32.190703184999997</v>
      </c>
      <c r="T40">
        <f t="shared" si="6"/>
        <v>30.858703184999996</v>
      </c>
      <c r="U40">
        <f t="shared" si="7"/>
        <v>0.66600000000000037</v>
      </c>
      <c r="V40">
        <f t="shared" si="8"/>
        <v>0.66600000000000037</v>
      </c>
      <c r="W40">
        <f t="shared" si="9"/>
        <v>0.66600000000000037</v>
      </c>
      <c r="BF40" s="8"/>
      <c r="BG40" s="8"/>
      <c r="BH40" s="8"/>
      <c r="BR40" s="4"/>
      <c r="BS40" s="4"/>
      <c r="BU40" s="8"/>
    </row>
    <row r="41" spans="1:293">
      <c r="A41" s="1"/>
      <c r="B41" s="4">
        <v>116.7</v>
      </c>
      <c r="C41" s="3">
        <v>8.02</v>
      </c>
      <c r="D41" s="3">
        <v>5.3274403000000001</v>
      </c>
      <c r="E41" s="4">
        <v>0.11</v>
      </c>
      <c r="F41" s="4"/>
      <c r="G41" s="4"/>
      <c r="H41" s="4"/>
      <c r="I41" s="4"/>
      <c r="J41" s="4"/>
      <c r="K41" s="3">
        <v>7.5</v>
      </c>
      <c r="L41" s="14" t="s">
        <v>29</v>
      </c>
      <c r="M41" s="14" t="s">
        <v>33</v>
      </c>
      <c r="N41" s="3">
        <v>0.96</v>
      </c>
      <c r="O41" s="16" t="s">
        <v>36</v>
      </c>
      <c r="P41">
        <v>1</v>
      </c>
      <c r="Q41">
        <f t="shared" si="17"/>
        <v>8.02</v>
      </c>
      <c r="R41">
        <f t="shared" si="4"/>
        <v>42.726071206</v>
      </c>
      <c r="S41">
        <f t="shared" si="5"/>
        <v>43.608271205999998</v>
      </c>
      <c r="T41">
        <f t="shared" si="6"/>
        <v>41.843871205999996</v>
      </c>
      <c r="U41">
        <f t="shared" si="7"/>
        <v>0.88219999999999743</v>
      </c>
      <c r="V41">
        <f t="shared" si="8"/>
        <v>0.88220000000000454</v>
      </c>
      <c r="W41">
        <f t="shared" si="9"/>
        <v>0.88220000000000098</v>
      </c>
      <c r="BF41" s="8"/>
      <c r="BG41" s="8"/>
      <c r="BH41" s="8"/>
      <c r="BR41" s="4"/>
      <c r="BS41" s="4"/>
      <c r="BU41" s="8"/>
    </row>
    <row r="42" spans="1:293">
      <c r="A42" s="1"/>
      <c r="B42" s="4">
        <v>116.7</v>
      </c>
      <c r="C42" s="3">
        <v>11.52</v>
      </c>
      <c r="D42" s="3">
        <v>4.9966526</v>
      </c>
      <c r="E42" s="4">
        <v>0.1</v>
      </c>
      <c r="F42" s="4"/>
      <c r="G42" s="4"/>
      <c r="H42" s="4"/>
      <c r="I42" s="4"/>
      <c r="J42" s="4"/>
      <c r="K42" s="3">
        <v>7.5</v>
      </c>
      <c r="L42" s="14" t="s">
        <v>29</v>
      </c>
      <c r="M42" s="14" t="s">
        <v>33</v>
      </c>
      <c r="N42" s="3">
        <v>0.96</v>
      </c>
      <c r="O42" s="16" t="s">
        <v>36</v>
      </c>
      <c r="P42">
        <v>1</v>
      </c>
      <c r="Q42">
        <f t="shared" si="17"/>
        <v>11.52</v>
      </c>
      <c r="R42">
        <f t="shared" si="4"/>
        <v>57.561437951999999</v>
      </c>
      <c r="S42">
        <f t="shared" si="5"/>
        <v>58.713437951999992</v>
      </c>
      <c r="T42">
        <f t="shared" si="6"/>
        <v>56.409437952000005</v>
      </c>
      <c r="U42">
        <f t="shared" si="7"/>
        <v>1.1519999999999939</v>
      </c>
      <c r="V42">
        <f t="shared" si="8"/>
        <v>1.1519999999999939</v>
      </c>
      <c r="W42">
        <f t="shared" si="9"/>
        <v>1.1519999999999939</v>
      </c>
      <c r="BF42" s="8"/>
      <c r="BG42" s="8"/>
      <c r="BH42" s="8"/>
      <c r="BR42" s="4"/>
      <c r="BS42" s="4"/>
      <c r="BU42" s="8"/>
    </row>
    <row r="43" spans="1:293">
      <c r="A43" s="1"/>
      <c r="B43" s="4">
        <v>116.7</v>
      </c>
      <c r="C43" s="3">
        <v>16.559999999999999</v>
      </c>
      <c r="D43" s="3">
        <v>4.6336893999999997</v>
      </c>
      <c r="E43" s="4">
        <v>0.1</v>
      </c>
      <c r="F43" s="4"/>
      <c r="G43" s="4"/>
      <c r="H43" s="4"/>
      <c r="I43" s="4"/>
      <c r="J43" s="4"/>
      <c r="K43" s="3">
        <v>7.5</v>
      </c>
      <c r="L43" s="14" t="s">
        <v>29</v>
      </c>
      <c r="M43" s="14" t="s">
        <v>33</v>
      </c>
      <c r="N43" s="3">
        <v>0.96</v>
      </c>
      <c r="O43" s="16" t="s">
        <v>36</v>
      </c>
      <c r="P43">
        <v>1</v>
      </c>
      <c r="Q43">
        <f t="shared" si="17"/>
        <v>16.559999999999999</v>
      </c>
      <c r="R43">
        <f t="shared" si="4"/>
        <v>76.733896463999983</v>
      </c>
      <c r="S43">
        <f t="shared" si="5"/>
        <v>78.389896463999989</v>
      </c>
      <c r="T43">
        <f t="shared" si="6"/>
        <v>75.077896463999991</v>
      </c>
      <c r="U43">
        <f t="shared" si="7"/>
        <v>1.6560000000000059</v>
      </c>
      <c r="V43">
        <f t="shared" si="8"/>
        <v>1.6559999999999917</v>
      </c>
      <c r="W43">
        <f t="shared" si="9"/>
        <v>1.6559999999999988</v>
      </c>
      <c r="BF43" s="8"/>
      <c r="BG43" s="8"/>
      <c r="BH43" s="8"/>
      <c r="BR43" s="4"/>
      <c r="BS43" s="4"/>
      <c r="BU43" s="8"/>
    </row>
    <row r="44" spans="1:293" s="20" customFormat="1">
      <c r="A44" s="18" t="s">
        <v>18</v>
      </c>
      <c r="B44" s="19">
        <v>190</v>
      </c>
      <c r="C44" s="19">
        <v>0.7</v>
      </c>
      <c r="D44" s="19">
        <v>8.1999999999999993</v>
      </c>
      <c r="E44" s="19">
        <f>(F44+G44)/2</f>
        <v>2.25</v>
      </c>
      <c r="F44" s="19">
        <v>2.4</v>
      </c>
      <c r="G44" s="19">
        <v>2.1</v>
      </c>
      <c r="H44" s="19">
        <v>0.13</v>
      </c>
      <c r="I44" s="19">
        <v>0.13</v>
      </c>
      <c r="J44" s="19">
        <f>(H44+I44)/2</f>
        <v>0.13</v>
      </c>
      <c r="K44" s="19">
        <v>10</v>
      </c>
      <c r="L44" s="22" t="s">
        <v>30</v>
      </c>
      <c r="M44" s="22" t="s">
        <v>34</v>
      </c>
      <c r="N44" s="19">
        <v>0.48</v>
      </c>
      <c r="O44" s="23" t="s">
        <v>37</v>
      </c>
      <c r="P44" s="20">
        <v>1</v>
      </c>
      <c r="Q44" s="20">
        <f t="shared" si="17"/>
        <v>0.7</v>
      </c>
      <c r="R44" s="20">
        <f t="shared" si="4"/>
        <v>5.7399999999999993</v>
      </c>
      <c r="S44" s="20">
        <f t="shared" si="5"/>
        <v>7.3149999999999986</v>
      </c>
      <c r="T44" s="20">
        <f t="shared" si="6"/>
        <v>4.1649999999999991</v>
      </c>
      <c r="U44">
        <f t="shared" si="7"/>
        <v>1.5749999999999993</v>
      </c>
      <c r="V44">
        <f t="shared" si="8"/>
        <v>1.5750000000000002</v>
      </c>
      <c r="W44">
        <f t="shared" si="9"/>
        <v>1.5749999999999997</v>
      </c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8"/>
      <c r="BG44" s="8"/>
      <c r="BH44" s="8"/>
      <c r="BI44" s="33"/>
      <c r="BJ44" s="33"/>
      <c r="BK44" s="33"/>
      <c r="BL44" s="33"/>
      <c r="BM44" s="33"/>
      <c r="BN44" s="33"/>
      <c r="BO44" s="33"/>
      <c r="BP44" s="33"/>
      <c r="BQ44" s="33"/>
      <c r="BR44" s="4"/>
      <c r="BS44" s="4"/>
      <c r="BT44" s="33"/>
      <c r="BU44" s="8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</row>
    <row r="45" spans="1:293" s="20" customFormat="1">
      <c r="A45" s="67" t="s">
        <v>70</v>
      </c>
      <c r="B45" s="19">
        <v>190</v>
      </c>
      <c r="C45" s="19">
        <v>1.1000000000000001</v>
      </c>
      <c r="D45" s="19">
        <v>7.4</v>
      </c>
      <c r="E45" s="19">
        <f t="shared" ref="E45:E54" si="18">(F45+G45)/2</f>
        <v>1.7999999999999998</v>
      </c>
      <c r="F45" s="19">
        <v>1.9</v>
      </c>
      <c r="G45" s="19">
        <v>1.7</v>
      </c>
      <c r="H45" s="19">
        <v>0.18</v>
      </c>
      <c r="I45" s="19">
        <v>0.18</v>
      </c>
      <c r="J45" s="19">
        <f t="shared" ref="J45:J55" si="19">(H45+I45)/2</f>
        <v>0.18</v>
      </c>
      <c r="K45" s="19">
        <v>10</v>
      </c>
      <c r="L45" s="22" t="s">
        <v>30</v>
      </c>
      <c r="M45" s="22" t="s">
        <v>34</v>
      </c>
      <c r="N45" s="19">
        <v>0.48</v>
      </c>
      <c r="O45" s="23" t="s">
        <v>37</v>
      </c>
      <c r="P45" s="20">
        <v>1</v>
      </c>
      <c r="Q45" s="20">
        <f t="shared" ref="Q45:Q55" si="20">C45</f>
        <v>1.1000000000000001</v>
      </c>
      <c r="R45" s="20">
        <f t="shared" si="4"/>
        <v>8.14</v>
      </c>
      <c r="S45" s="20">
        <f t="shared" si="5"/>
        <v>10.119999999999999</v>
      </c>
      <c r="T45" s="20">
        <f t="shared" si="6"/>
        <v>6.160000000000001</v>
      </c>
      <c r="U45">
        <f t="shared" si="7"/>
        <v>1.9799999999999986</v>
      </c>
      <c r="V45">
        <f t="shared" si="8"/>
        <v>1.9799999999999995</v>
      </c>
      <c r="W45">
        <f t="shared" si="9"/>
        <v>1.9799999999999991</v>
      </c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8"/>
      <c r="BG45" s="8"/>
      <c r="BH45" s="8"/>
      <c r="BI45" s="33"/>
      <c r="BJ45" s="33"/>
      <c r="BK45" s="33"/>
      <c r="BL45" s="33"/>
      <c r="BM45" s="33"/>
      <c r="BN45" s="33"/>
      <c r="BO45" s="33"/>
      <c r="BP45" s="33"/>
      <c r="BQ45" s="33"/>
      <c r="BR45" s="4"/>
      <c r="BS45" s="4"/>
      <c r="BT45" s="33"/>
      <c r="BU45" s="8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</row>
    <row r="46" spans="1:293" s="20" customFormat="1">
      <c r="A46" s="18"/>
      <c r="B46" s="19">
        <v>190</v>
      </c>
      <c r="C46" s="19">
        <v>1.47</v>
      </c>
      <c r="D46" s="19">
        <v>10.1</v>
      </c>
      <c r="E46" s="19">
        <f t="shared" si="18"/>
        <v>1.55</v>
      </c>
      <c r="F46" s="19">
        <v>1.5</v>
      </c>
      <c r="G46" s="19">
        <v>1.6</v>
      </c>
      <c r="H46" s="19">
        <v>0.12</v>
      </c>
      <c r="I46" s="19">
        <v>0.12</v>
      </c>
      <c r="J46" s="19">
        <f t="shared" si="19"/>
        <v>0.12</v>
      </c>
      <c r="K46" s="19">
        <v>10</v>
      </c>
      <c r="L46" s="22" t="s">
        <v>30</v>
      </c>
      <c r="M46" s="22" t="s">
        <v>34</v>
      </c>
      <c r="N46" s="19">
        <v>0.48</v>
      </c>
      <c r="O46" s="23" t="s">
        <v>37</v>
      </c>
      <c r="P46" s="20">
        <v>1</v>
      </c>
      <c r="Q46" s="20">
        <f t="shared" si="20"/>
        <v>1.47</v>
      </c>
      <c r="R46" s="20">
        <f t="shared" si="4"/>
        <v>14.847</v>
      </c>
      <c r="S46" s="20">
        <f t="shared" si="5"/>
        <v>17.125499999999999</v>
      </c>
      <c r="T46" s="20">
        <f t="shared" si="6"/>
        <v>12.568499999999998</v>
      </c>
      <c r="U46">
        <f t="shared" si="7"/>
        <v>2.2784999999999993</v>
      </c>
      <c r="V46">
        <f t="shared" si="8"/>
        <v>2.2785000000000011</v>
      </c>
      <c r="W46">
        <f t="shared" si="9"/>
        <v>2.2785000000000002</v>
      </c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8"/>
      <c r="BG46" s="8"/>
      <c r="BH46" s="8"/>
      <c r="BI46" s="33"/>
      <c r="BJ46" s="33"/>
      <c r="BK46" s="33"/>
      <c r="BL46" s="33"/>
      <c r="BM46" s="33"/>
      <c r="BN46" s="33"/>
      <c r="BO46" s="33"/>
      <c r="BP46" s="33"/>
      <c r="BQ46" s="33"/>
      <c r="BR46" s="4"/>
      <c r="BS46" s="4"/>
      <c r="BT46" s="33"/>
      <c r="BU46" s="8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  <c r="JB46" s="33"/>
      <c r="JC46" s="33"/>
      <c r="JD46" s="33"/>
      <c r="JE46" s="33"/>
      <c r="JF46" s="33"/>
      <c r="JG46" s="33"/>
      <c r="JH46" s="33"/>
      <c r="JI46" s="33"/>
      <c r="JJ46" s="33"/>
      <c r="JK46" s="33"/>
      <c r="JL46" s="33"/>
      <c r="JM46" s="33"/>
      <c r="JN46" s="33"/>
      <c r="JO46" s="33"/>
      <c r="JP46" s="33"/>
      <c r="JQ46" s="33"/>
      <c r="JR46" s="33"/>
      <c r="JS46" s="33"/>
      <c r="JT46" s="33"/>
      <c r="JU46" s="33"/>
      <c r="JV46" s="33"/>
      <c r="JW46" s="33"/>
      <c r="JX46" s="33"/>
      <c r="JY46" s="33"/>
      <c r="JZ46" s="33"/>
      <c r="KA46" s="33"/>
      <c r="KB46" s="33"/>
      <c r="KC46" s="33"/>
      <c r="KD46" s="33"/>
      <c r="KE46" s="33"/>
      <c r="KF46" s="33"/>
      <c r="KG46" s="33"/>
    </row>
    <row r="47" spans="1:293" s="20" customFormat="1">
      <c r="A47" s="18"/>
      <c r="B47" s="19">
        <v>190</v>
      </c>
      <c r="C47" s="19">
        <v>2</v>
      </c>
      <c r="D47" s="19">
        <v>8</v>
      </c>
      <c r="E47" s="19">
        <f t="shared" si="18"/>
        <v>0.75</v>
      </c>
      <c r="F47" s="19">
        <v>0.9</v>
      </c>
      <c r="G47" s="19">
        <v>0.6</v>
      </c>
      <c r="H47" s="19">
        <v>0.1</v>
      </c>
      <c r="I47" s="19">
        <v>0.1</v>
      </c>
      <c r="J47" s="19">
        <f t="shared" si="19"/>
        <v>0.1</v>
      </c>
      <c r="K47" s="19">
        <v>10</v>
      </c>
      <c r="L47" s="22" t="s">
        <v>30</v>
      </c>
      <c r="M47" s="22" t="s">
        <v>34</v>
      </c>
      <c r="N47" s="19">
        <v>0.48</v>
      </c>
      <c r="O47" s="23" t="s">
        <v>37</v>
      </c>
      <c r="P47" s="20">
        <v>1</v>
      </c>
      <c r="Q47" s="20">
        <f t="shared" si="20"/>
        <v>2</v>
      </c>
      <c r="R47" s="20">
        <f t="shared" si="4"/>
        <v>16</v>
      </c>
      <c r="S47" s="20">
        <f t="shared" si="5"/>
        <v>17.5</v>
      </c>
      <c r="T47" s="20">
        <f t="shared" si="6"/>
        <v>14.5</v>
      </c>
      <c r="U47">
        <f t="shared" si="7"/>
        <v>1.5</v>
      </c>
      <c r="V47">
        <f t="shared" si="8"/>
        <v>1.5</v>
      </c>
      <c r="W47">
        <f t="shared" si="9"/>
        <v>1.5</v>
      </c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8"/>
      <c r="BG47" s="8"/>
      <c r="BH47" s="8"/>
      <c r="BI47" s="33"/>
      <c r="BJ47" s="33"/>
      <c r="BK47" s="33"/>
      <c r="BL47" s="33"/>
      <c r="BM47" s="33"/>
      <c r="BN47" s="33"/>
      <c r="BO47" s="33"/>
      <c r="BP47" s="33"/>
      <c r="BQ47" s="33"/>
      <c r="BR47" s="4"/>
      <c r="BS47" s="4"/>
      <c r="BT47" s="33"/>
      <c r="BU47" s="8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</row>
    <row r="48" spans="1:293" s="20" customFormat="1">
      <c r="A48" s="18"/>
      <c r="B48" s="19">
        <v>190</v>
      </c>
      <c r="C48" s="19">
        <v>2.77</v>
      </c>
      <c r="D48" s="19">
        <v>7.5</v>
      </c>
      <c r="E48" s="19">
        <f t="shared" si="18"/>
        <v>0.5</v>
      </c>
      <c r="F48" s="19">
        <v>0.5</v>
      </c>
      <c r="G48" s="19">
        <v>0.5</v>
      </c>
      <c r="H48" s="19">
        <v>0.1</v>
      </c>
      <c r="I48" s="19">
        <v>0.1</v>
      </c>
      <c r="J48" s="19">
        <f t="shared" si="19"/>
        <v>0.1</v>
      </c>
      <c r="K48" s="19">
        <v>10</v>
      </c>
      <c r="L48" s="22" t="s">
        <v>30</v>
      </c>
      <c r="M48" s="22" t="s">
        <v>34</v>
      </c>
      <c r="N48" s="19">
        <v>0.48</v>
      </c>
      <c r="O48" s="23" t="s">
        <v>37</v>
      </c>
      <c r="P48" s="20">
        <v>1</v>
      </c>
      <c r="Q48" s="20">
        <f t="shared" si="20"/>
        <v>2.77</v>
      </c>
      <c r="R48" s="20">
        <f t="shared" si="4"/>
        <v>20.774999999999999</v>
      </c>
      <c r="S48" s="20">
        <f t="shared" si="5"/>
        <v>22.16</v>
      </c>
      <c r="T48" s="20">
        <f t="shared" si="6"/>
        <v>19.39</v>
      </c>
      <c r="U48">
        <f t="shared" si="7"/>
        <v>1.3850000000000016</v>
      </c>
      <c r="V48">
        <f t="shared" si="8"/>
        <v>1.384999999999998</v>
      </c>
      <c r="W48">
        <f t="shared" si="9"/>
        <v>1.3849999999999998</v>
      </c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  <c r="JB48" s="33"/>
      <c r="JC48" s="33"/>
      <c r="JD48" s="33"/>
      <c r="JE48" s="33"/>
      <c r="JF48" s="33"/>
      <c r="JG48" s="33"/>
      <c r="JH48" s="33"/>
      <c r="JI48" s="33"/>
      <c r="JJ48" s="33"/>
      <c r="JK48" s="33"/>
      <c r="JL48" s="33"/>
      <c r="JM48" s="33"/>
      <c r="JN48" s="33"/>
      <c r="JO48" s="33"/>
      <c r="JP48" s="33"/>
      <c r="JQ48" s="33"/>
      <c r="JR48" s="33"/>
      <c r="JS48" s="33"/>
      <c r="JT48" s="33"/>
      <c r="JU48" s="33"/>
      <c r="JV48" s="33"/>
      <c r="JW48" s="33"/>
      <c r="JX48" s="33"/>
      <c r="JY48" s="33"/>
      <c r="JZ48" s="33"/>
      <c r="KA48" s="33"/>
      <c r="KB48" s="33"/>
      <c r="KC48" s="33"/>
      <c r="KD48" s="33"/>
      <c r="KE48" s="33"/>
      <c r="KF48" s="33"/>
      <c r="KG48" s="33"/>
    </row>
    <row r="49" spans="1:293" s="20" customFormat="1">
      <c r="A49" s="18"/>
      <c r="B49" s="19">
        <v>190</v>
      </c>
      <c r="C49" s="19">
        <v>3.86</v>
      </c>
      <c r="D49" s="19">
        <v>7.3</v>
      </c>
      <c r="E49" s="19">
        <f t="shared" si="18"/>
        <v>0.3</v>
      </c>
      <c r="F49" s="19">
        <v>0.3</v>
      </c>
      <c r="G49" s="19">
        <v>0.3</v>
      </c>
      <c r="H49" s="19">
        <v>0.08</v>
      </c>
      <c r="I49" s="19">
        <v>0.08</v>
      </c>
      <c r="J49" s="19">
        <f t="shared" si="19"/>
        <v>0.08</v>
      </c>
      <c r="K49" s="19">
        <v>10</v>
      </c>
      <c r="L49" s="22" t="s">
        <v>30</v>
      </c>
      <c r="M49" s="22" t="s">
        <v>34</v>
      </c>
      <c r="N49" s="19">
        <v>0.48</v>
      </c>
      <c r="O49" s="23" t="s">
        <v>37</v>
      </c>
      <c r="P49" s="20">
        <v>1</v>
      </c>
      <c r="Q49" s="20">
        <f t="shared" si="20"/>
        <v>3.86</v>
      </c>
      <c r="R49" s="20">
        <f t="shared" si="4"/>
        <v>28.177999999999997</v>
      </c>
      <c r="S49" s="20">
        <f t="shared" si="5"/>
        <v>29.335999999999999</v>
      </c>
      <c r="T49" s="20">
        <f t="shared" si="6"/>
        <v>27.02</v>
      </c>
      <c r="U49">
        <f t="shared" si="7"/>
        <v>1.1580000000000013</v>
      </c>
      <c r="V49">
        <f t="shared" si="8"/>
        <v>1.1579999999999977</v>
      </c>
      <c r="W49">
        <f t="shared" si="9"/>
        <v>1.1579999999999995</v>
      </c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</row>
    <row r="50" spans="1:293" s="20" customFormat="1">
      <c r="A50" s="18"/>
      <c r="B50" s="19">
        <v>190</v>
      </c>
      <c r="C50" s="19">
        <v>5.55</v>
      </c>
      <c r="D50" s="19">
        <v>7.2</v>
      </c>
      <c r="E50" s="19">
        <f t="shared" si="18"/>
        <v>0.2</v>
      </c>
      <c r="F50" s="19">
        <v>0.2</v>
      </c>
      <c r="G50" s="19">
        <v>0.2</v>
      </c>
      <c r="H50" s="19">
        <v>0.09</v>
      </c>
      <c r="I50" s="19">
        <v>0.09</v>
      </c>
      <c r="J50" s="19">
        <f t="shared" si="19"/>
        <v>0.09</v>
      </c>
      <c r="K50" s="19">
        <v>10</v>
      </c>
      <c r="L50" s="22" t="s">
        <v>30</v>
      </c>
      <c r="M50" s="22" t="s">
        <v>34</v>
      </c>
      <c r="N50" s="19">
        <v>0.48</v>
      </c>
      <c r="O50" s="23" t="s">
        <v>37</v>
      </c>
      <c r="P50" s="20">
        <v>1</v>
      </c>
      <c r="Q50" s="20">
        <f t="shared" si="20"/>
        <v>5.55</v>
      </c>
      <c r="R50" s="20">
        <f t="shared" si="4"/>
        <v>39.96</v>
      </c>
      <c r="S50" s="20">
        <f t="shared" si="5"/>
        <v>41.07</v>
      </c>
      <c r="T50" s="20">
        <f t="shared" si="6"/>
        <v>38.85</v>
      </c>
      <c r="U50">
        <f t="shared" si="7"/>
        <v>1.1099999999999994</v>
      </c>
      <c r="V50">
        <f t="shared" si="8"/>
        <v>1.1099999999999994</v>
      </c>
      <c r="W50">
        <f t="shared" si="9"/>
        <v>1.1099999999999994</v>
      </c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</row>
    <row r="51" spans="1:293" s="20" customFormat="1">
      <c r="A51" s="18"/>
      <c r="B51" s="19">
        <v>190</v>
      </c>
      <c r="C51" s="19">
        <v>8.02</v>
      </c>
      <c r="D51" s="19">
        <v>6.8</v>
      </c>
      <c r="E51" s="19">
        <f t="shared" si="18"/>
        <v>0.16</v>
      </c>
      <c r="F51" s="19">
        <v>0.15</v>
      </c>
      <c r="G51" s="19">
        <v>0.17</v>
      </c>
      <c r="H51" s="19">
        <v>0.1</v>
      </c>
      <c r="I51" s="19">
        <v>0.1</v>
      </c>
      <c r="J51" s="19">
        <f t="shared" si="19"/>
        <v>0.1</v>
      </c>
      <c r="K51" s="19">
        <v>10</v>
      </c>
      <c r="L51" s="22" t="s">
        <v>30</v>
      </c>
      <c r="M51" s="22" t="s">
        <v>34</v>
      </c>
      <c r="N51" s="19">
        <v>0.48</v>
      </c>
      <c r="O51" s="23" t="s">
        <v>37</v>
      </c>
      <c r="P51" s="20">
        <v>1</v>
      </c>
      <c r="Q51" s="20">
        <f t="shared" si="20"/>
        <v>8.02</v>
      </c>
      <c r="R51" s="20">
        <f t="shared" si="4"/>
        <v>54.535999999999994</v>
      </c>
      <c r="S51" s="20">
        <f t="shared" si="5"/>
        <v>55.819199999999995</v>
      </c>
      <c r="T51" s="20">
        <f t="shared" si="6"/>
        <v>53.252799999999993</v>
      </c>
      <c r="U51">
        <f t="shared" si="7"/>
        <v>1.2832000000000008</v>
      </c>
      <c r="V51">
        <f t="shared" si="8"/>
        <v>1.2832000000000008</v>
      </c>
      <c r="W51">
        <f t="shared" si="9"/>
        <v>1.2832000000000008</v>
      </c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</row>
    <row r="52" spans="1:293" s="20" customFormat="1">
      <c r="A52" s="18"/>
      <c r="B52" s="19">
        <v>190</v>
      </c>
      <c r="C52" s="19">
        <v>11.52</v>
      </c>
      <c r="D52" s="19">
        <v>5.88</v>
      </c>
      <c r="E52" s="19">
        <f t="shared" si="18"/>
        <v>0.125</v>
      </c>
      <c r="F52" s="19">
        <v>0.12</v>
      </c>
      <c r="G52" s="19">
        <v>0.13</v>
      </c>
      <c r="H52" s="19">
        <v>0.12</v>
      </c>
      <c r="I52" s="19">
        <v>0.12</v>
      </c>
      <c r="J52" s="19">
        <f t="shared" si="19"/>
        <v>0.12</v>
      </c>
      <c r="K52" s="19">
        <v>10</v>
      </c>
      <c r="L52" s="22" t="s">
        <v>30</v>
      </c>
      <c r="M52" s="22" t="s">
        <v>34</v>
      </c>
      <c r="N52" s="19">
        <v>0.48</v>
      </c>
      <c r="O52" s="23" t="s">
        <v>37</v>
      </c>
      <c r="P52" s="20">
        <v>1</v>
      </c>
      <c r="Q52" s="20">
        <f t="shared" si="20"/>
        <v>11.52</v>
      </c>
      <c r="R52" s="20">
        <f t="shared" si="4"/>
        <v>67.7376</v>
      </c>
      <c r="S52" s="20">
        <f t="shared" si="5"/>
        <v>69.177599999999998</v>
      </c>
      <c r="T52" s="20">
        <f t="shared" si="6"/>
        <v>66.297600000000003</v>
      </c>
      <c r="U52">
        <f t="shared" si="7"/>
        <v>1.4399999999999977</v>
      </c>
      <c r="V52">
        <f t="shared" si="8"/>
        <v>1.4399999999999977</v>
      </c>
      <c r="W52">
        <f t="shared" si="9"/>
        <v>1.4399999999999977</v>
      </c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</row>
    <row r="53" spans="1:293" s="20" customFormat="1">
      <c r="A53" s="18"/>
      <c r="B53" s="19">
        <v>190</v>
      </c>
      <c r="C53" s="19">
        <v>16.559999999999999</v>
      </c>
      <c r="D53" s="19">
        <v>5.28</v>
      </c>
      <c r="E53" s="19">
        <f t="shared" si="18"/>
        <v>0.12</v>
      </c>
      <c r="F53" s="19">
        <v>0.11</v>
      </c>
      <c r="G53" s="19">
        <v>0.13</v>
      </c>
      <c r="H53" s="19">
        <v>0.16</v>
      </c>
      <c r="I53" s="19">
        <v>0.16</v>
      </c>
      <c r="J53" s="19">
        <f t="shared" si="19"/>
        <v>0.16</v>
      </c>
      <c r="K53" s="19">
        <v>10</v>
      </c>
      <c r="L53" s="22" t="s">
        <v>30</v>
      </c>
      <c r="M53" s="22" t="s">
        <v>34</v>
      </c>
      <c r="N53" s="19">
        <v>0.48</v>
      </c>
      <c r="O53" s="23" t="s">
        <v>37</v>
      </c>
      <c r="P53" s="20">
        <v>1</v>
      </c>
      <c r="Q53" s="20">
        <f t="shared" si="20"/>
        <v>16.559999999999999</v>
      </c>
      <c r="R53" s="20">
        <f t="shared" si="4"/>
        <v>87.436799999999991</v>
      </c>
      <c r="S53" s="20">
        <f t="shared" si="5"/>
        <v>89.423999999999992</v>
      </c>
      <c r="T53" s="20">
        <f t="shared" si="6"/>
        <v>85.44959999999999</v>
      </c>
      <c r="U53">
        <f t="shared" si="7"/>
        <v>1.9872000000000014</v>
      </c>
      <c r="V53">
        <f t="shared" si="8"/>
        <v>1.9872000000000014</v>
      </c>
      <c r="W53">
        <f t="shared" si="9"/>
        <v>1.9872000000000014</v>
      </c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1"/>
      <c r="BG53" s="1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33"/>
      <c r="JT53" s="33"/>
      <c r="JU53" s="33"/>
      <c r="JV53" s="33"/>
      <c r="JW53" s="33"/>
      <c r="JX53" s="33"/>
      <c r="JY53" s="33"/>
      <c r="JZ53" s="33"/>
      <c r="KA53" s="33"/>
      <c r="KB53" s="33"/>
      <c r="KC53" s="33"/>
      <c r="KD53" s="33"/>
      <c r="KE53" s="33"/>
      <c r="KF53" s="33"/>
      <c r="KG53" s="33"/>
    </row>
    <row r="54" spans="1:293" s="20" customFormat="1">
      <c r="A54" s="18"/>
      <c r="B54" s="19">
        <v>190</v>
      </c>
      <c r="C54" s="19">
        <v>24.2</v>
      </c>
      <c r="D54" s="19">
        <v>4.62</v>
      </c>
      <c r="E54" s="19">
        <f t="shared" si="18"/>
        <v>0.115</v>
      </c>
      <c r="F54" s="19">
        <v>0.13</v>
      </c>
      <c r="G54" s="19">
        <v>0.1</v>
      </c>
      <c r="H54" s="19">
        <v>0.2</v>
      </c>
      <c r="I54" s="19">
        <v>0.2</v>
      </c>
      <c r="J54" s="19">
        <f t="shared" si="19"/>
        <v>0.2</v>
      </c>
      <c r="K54" s="19">
        <v>10</v>
      </c>
      <c r="L54" s="22" t="s">
        <v>30</v>
      </c>
      <c r="M54" s="22" t="s">
        <v>34</v>
      </c>
      <c r="N54" s="19">
        <v>0.48</v>
      </c>
      <c r="O54" s="23" t="s">
        <v>37</v>
      </c>
      <c r="P54" s="20">
        <v>1</v>
      </c>
      <c r="Q54" s="20">
        <f t="shared" si="20"/>
        <v>24.2</v>
      </c>
      <c r="R54" s="20">
        <f t="shared" si="4"/>
        <v>111.804</v>
      </c>
      <c r="S54" s="20">
        <f t="shared" si="5"/>
        <v>114.587</v>
      </c>
      <c r="T54" s="20">
        <f t="shared" si="6"/>
        <v>109.021</v>
      </c>
      <c r="U54">
        <f t="shared" si="7"/>
        <v>2.7830000000000013</v>
      </c>
      <c r="V54">
        <f t="shared" si="8"/>
        <v>2.7830000000000013</v>
      </c>
      <c r="W54">
        <f t="shared" si="9"/>
        <v>2.7830000000000013</v>
      </c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1"/>
      <c r="BG54" s="1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  <c r="JB54" s="33"/>
      <c r="JC54" s="33"/>
      <c r="JD54" s="33"/>
      <c r="JE54" s="33"/>
      <c r="JF54" s="33"/>
      <c r="JG54" s="33"/>
      <c r="JH54" s="33"/>
      <c r="JI54" s="33"/>
      <c r="JJ54" s="33"/>
      <c r="JK54" s="33"/>
      <c r="JL54" s="33"/>
      <c r="JM54" s="33"/>
      <c r="JN54" s="33"/>
      <c r="JO54" s="33"/>
      <c r="JP54" s="33"/>
      <c r="JQ54" s="33"/>
      <c r="JR54" s="33"/>
      <c r="JS54" s="33"/>
      <c r="JT54" s="33"/>
      <c r="JU54" s="33"/>
      <c r="JV54" s="33"/>
      <c r="JW54" s="33"/>
      <c r="JX54" s="33"/>
      <c r="JY54" s="33"/>
      <c r="JZ54" s="33"/>
      <c r="KA54" s="33"/>
      <c r="KB54" s="33"/>
      <c r="KC54" s="33"/>
      <c r="KD54" s="33"/>
      <c r="KE54" s="33"/>
      <c r="KF54" s="33"/>
      <c r="KG54" s="33"/>
    </row>
    <row r="55" spans="1:293" s="20" customFormat="1">
      <c r="A55" s="18"/>
      <c r="B55" s="19">
        <v>190</v>
      </c>
      <c r="C55" s="19">
        <v>74.152600000000007</v>
      </c>
      <c r="D55" s="19">
        <v>3.06</v>
      </c>
      <c r="E55" s="19">
        <f>(F55+G55)/2</f>
        <v>0.3053151248020084</v>
      </c>
      <c r="F55" s="19">
        <f>SQRT(0.05^2+0.2^2)</f>
        <v>0.20615528128088306</v>
      </c>
      <c r="G55" s="19">
        <f>SQRT(0.06^2+0.4^2)</f>
        <v>0.40447496832313373</v>
      </c>
      <c r="H55" s="19">
        <v>0</v>
      </c>
      <c r="I55" s="19">
        <v>0</v>
      </c>
      <c r="J55" s="19">
        <f t="shared" si="19"/>
        <v>0</v>
      </c>
      <c r="K55" s="19">
        <v>10</v>
      </c>
      <c r="L55" s="22" t="s">
        <v>30</v>
      </c>
      <c r="M55" s="22" t="s">
        <v>34</v>
      </c>
      <c r="N55" s="19">
        <v>0.48</v>
      </c>
      <c r="O55" s="23" t="s">
        <v>37</v>
      </c>
      <c r="P55" s="20">
        <v>1</v>
      </c>
      <c r="Q55" s="20">
        <f t="shared" si="20"/>
        <v>74.152600000000007</v>
      </c>
      <c r="R55" s="20">
        <f t="shared" si="4"/>
        <v>226.90695600000004</v>
      </c>
      <c r="S55" s="20">
        <f t="shared" si="5"/>
        <v>249.54686632339343</v>
      </c>
      <c r="T55" s="20">
        <f t="shared" si="6"/>
        <v>204.26704567660661</v>
      </c>
      <c r="U55">
        <f t="shared" si="7"/>
        <v>22.639910323393394</v>
      </c>
      <c r="V55">
        <f t="shared" si="8"/>
        <v>22.639910323393423</v>
      </c>
      <c r="W55">
        <f t="shared" si="9"/>
        <v>22.639910323393408</v>
      </c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1"/>
      <c r="BG55" s="1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</row>
    <row r="56" spans="1:293">
      <c r="A56" s="1" t="s">
        <v>19</v>
      </c>
      <c r="B56" s="4">
        <v>190</v>
      </c>
      <c r="C56" s="4">
        <v>4.95</v>
      </c>
      <c r="D56" s="3">
        <v>5.9</v>
      </c>
      <c r="E56" s="4">
        <v>0.3</v>
      </c>
      <c r="F56" s="4"/>
      <c r="G56" s="4"/>
      <c r="H56" s="4">
        <v>0.83</v>
      </c>
      <c r="I56" s="4">
        <v>0.83</v>
      </c>
      <c r="J56" s="4">
        <v>0.83</v>
      </c>
      <c r="K56" s="4">
        <v>0</v>
      </c>
      <c r="L56" s="3">
        <v>10</v>
      </c>
      <c r="M56" s="3">
        <f>L56/1.85</f>
        <v>5.4054054054054053</v>
      </c>
      <c r="N56" s="15">
        <v>0.90300000000000002</v>
      </c>
      <c r="O56">
        <f t="shared" ref="O56:O59" si="21">-0.03754*M56^2+0.5266*M56-0.84645</f>
        <v>0.90317746530314091</v>
      </c>
      <c r="P56">
        <f t="shared" ref="P56:P79" si="22">N56/O56</f>
        <v>0.99980351004098478</v>
      </c>
      <c r="Q56">
        <f t="shared" ref="Q56:Q69" si="23">C56</f>
        <v>4.95</v>
      </c>
      <c r="R56">
        <f t="shared" si="4"/>
        <v>29.199261510746961</v>
      </c>
      <c r="S56">
        <f t="shared" si="5"/>
        <v>30.683969723157823</v>
      </c>
      <c r="T56">
        <f t="shared" si="6"/>
        <v>27.714553298336099</v>
      </c>
      <c r="U56">
        <f t="shared" si="7"/>
        <v>1.4847082124108617</v>
      </c>
      <c r="V56">
        <f t="shared" si="8"/>
        <v>1.4847082124108617</v>
      </c>
      <c r="W56">
        <f t="shared" si="9"/>
        <v>1.4847082124108617</v>
      </c>
      <c r="BF56" s="1"/>
      <c r="BG56" s="1"/>
    </row>
    <row r="57" spans="1:293">
      <c r="A57" s="65" t="s">
        <v>79</v>
      </c>
      <c r="B57" s="4">
        <v>190</v>
      </c>
      <c r="C57" s="4">
        <v>6.6</v>
      </c>
      <c r="D57" s="3">
        <v>5.8</v>
      </c>
      <c r="E57" s="4">
        <v>0.1</v>
      </c>
      <c r="F57" s="4"/>
      <c r="G57" s="4"/>
      <c r="H57" s="4">
        <v>1.52</v>
      </c>
      <c r="I57" s="4">
        <v>1.52</v>
      </c>
      <c r="J57" s="4">
        <v>1.52</v>
      </c>
      <c r="K57" s="4">
        <v>0</v>
      </c>
      <c r="L57" s="3">
        <v>10</v>
      </c>
      <c r="M57" s="3">
        <f>L57/1.85</f>
        <v>5.4054054054054053</v>
      </c>
      <c r="N57" s="15">
        <v>0.90300000000000002</v>
      </c>
      <c r="O57">
        <f t="shared" si="21"/>
        <v>0.90317746530314091</v>
      </c>
      <c r="P57">
        <f t="shared" si="22"/>
        <v>0.99980351004098478</v>
      </c>
      <c r="Q57">
        <f t="shared" si="23"/>
        <v>6.6</v>
      </c>
      <c r="R57">
        <f t="shared" si="4"/>
        <v>38.272478364368894</v>
      </c>
      <c r="S57">
        <f t="shared" si="5"/>
        <v>38.932348680995943</v>
      </c>
      <c r="T57">
        <f t="shared" si="6"/>
        <v>37.612608047741844</v>
      </c>
      <c r="U57">
        <f t="shared" si="7"/>
        <v>0.65987031662704965</v>
      </c>
      <c r="V57">
        <f t="shared" si="8"/>
        <v>0.65987031662704965</v>
      </c>
      <c r="W57">
        <f t="shared" si="9"/>
        <v>0.65987031662704965</v>
      </c>
      <c r="BF57" s="1"/>
      <c r="BG57" s="1"/>
      <c r="BR57" s="77"/>
    </row>
    <row r="58" spans="1:293">
      <c r="A58" s="1"/>
      <c r="B58" s="4">
        <v>190</v>
      </c>
      <c r="C58" s="4">
        <v>10.62</v>
      </c>
      <c r="D58" s="3">
        <v>5.7</v>
      </c>
      <c r="E58" s="4">
        <v>0.1</v>
      </c>
      <c r="F58" s="4"/>
      <c r="G58" s="4"/>
      <c r="H58" s="4">
        <v>1.54</v>
      </c>
      <c r="I58" s="4">
        <v>1.54</v>
      </c>
      <c r="J58" s="4">
        <v>1.54</v>
      </c>
      <c r="K58" s="4">
        <v>0</v>
      </c>
      <c r="L58" s="3">
        <v>10</v>
      </c>
      <c r="M58" s="3">
        <f>L58/1.85</f>
        <v>5.4054054054054053</v>
      </c>
      <c r="N58" s="15">
        <v>0.90300000000000002</v>
      </c>
      <c r="O58">
        <f t="shared" si="21"/>
        <v>0.90317746530314091</v>
      </c>
      <c r="P58">
        <f t="shared" si="22"/>
        <v>0.99980351004098478</v>
      </c>
      <c r="Q58">
        <f t="shared" si="23"/>
        <v>10.62</v>
      </c>
      <c r="R58">
        <f t="shared" si="4"/>
        <v>60.522105676820971</v>
      </c>
      <c r="S58">
        <f t="shared" si="5"/>
        <v>61.583897004484498</v>
      </c>
      <c r="T58">
        <f t="shared" si="6"/>
        <v>59.46031434915745</v>
      </c>
      <c r="U58">
        <f t="shared" si="7"/>
        <v>1.0617913276635278</v>
      </c>
      <c r="V58">
        <f t="shared" si="8"/>
        <v>1.0617913276635207</v>
      </c>
      <c r="W58">
        <f t="shared" si="9"/>
        <v>1.0617913276635242</v>
      </c>
      <c r="BF58" s="1"/>
      <c r="BG58" s="1"/>
    </row>
    <row r="59" spans="1:293">
      <c r="A59" s="1"/>
      <c r="B59" s="4">
        <v>190</v>
      </c>
      <c r="C59" s="4">
        <v>13.95</v>
      </c>
      <c r="D59" s="3">
        <v>6.2</v>
      </c>
      <c r="E59" s="4">
        <v>0.1</v>
      </c>
      <c r="F59" s="4"/>
      <c r="G59" s="4"/>
      <c r="H59" s="4">
        <v>2.46</v>
      </c>
      <c r="I59" s="4">
        <v>2.46</v>
      </c>
      <c r="J59" s="4">
        <v>2.46</v>
      </c>
      <c r="K59" s="4">
        <v>0</v>
      </c>
      <c r="L59" s="3">
        <v>10</v>
      </c>
      <c r="M59" s="3">
        <f>L59/1.85</f>
        <v>5.4054054054054053</v>
      </c>
      <c r="N59" s="15">
        <v>0.90300000000000002</v>
      </c>
      <c r="O59">
        <f t="shared" si="21"/>
        <v>0.90317746530314091</v>
      </c>
      <c r="P59">
        <f t="shared" si="22"/>
        <v>0.99980351004098478</v>
      </c>
      <c r="Q59">
        <f t="shared" si="23"/>
        <v>13.95</v>
      </c>
      <c r="R59">
        <f t="shared" si="4"/>
        <v>86.473005583444774</v>
      </c>
      <c r="S59">
        <f t="shared" si="5"/>
        <v>87.867731479951942</v>
      </c>
      <c r="T59">
        <f t="shared" si="6"/>
        <v>85.078279686937591</v>
      </c>
      <c r="U59">
        <f t="shared" si="7"/>
        <v>1.3947258965071683</v>
      </c>
      <c r="V59">
        <f t="shared" si="8"/>
        <v>1.3947258965071825</v>
      </c>
      <c r="W59">
        <f t="shared" si="9"/>
        <v>1.3947258965071754</v>
      </c>
      <c r="BF59" s="1"/>
      <c r="BG59" s="1"/>
    </row>
    <row r="60" spans="1:293" s="5" customFormat="1">
      <c r="A60" s="6" t="s">
        <v>85</v>
      </c>
      <c r="B60" s="5">
        <v>220</v>
      </c>
      <c r="C60" s="69">
        <v>0.29449566999999999</v>
      </c>
      <c r="D60" s="69">
        <v>3.462796</v>
      </c>
      <c r="E60" s="69">
        <f>(F60+G60)/2</f>
        <v>0.42848849999999999</v>
      </c>
      <c r="F60" s="70">
        <v>0.445245</v>
      </c>
      <c r="G60" s="70">
        <v>0.41173199999999999</v>
      </c>
      <c r="H60" s="70">
        <v>6.4963270000000004E-2</v>
      </c>
      <c r="I60" s="70">
        <v>6.6395129999999997E-2</v>
      </c>
      <c r="J60" s="69">
        <f>(H60+I60)/2</f>
        <v>6.5679199999999993E-2</v>
      </c>
      <c r="K60" s="69">
        <v>0</v>
      </c>
      <c r="L60" s="72" t="s">
        <v>86</v>
      </c>
      <c r="M60" s="72" t="s">
        <v>86</v>
      </c>
      <c r="N60" s="74">
        <v>1</v>
      </c>
      <c r="O60" s="5">
        <v>1</v>
      </c>
      <c r="P60" s="5">
        <v>1</v>
      </c>
      <c r="Q60" s="5">
        <f t="shared" si="23"/>
        <v>0.29449566999999999</v>
      </c>
      <c r="R60" s="5">
        <f t="shared" ref="R60:R69" si="24">C60*D60*P60</f>
        <v>1.01977842809332</v>
      </c>
      <c r="S60" s="5">
        <f t="shared" ref="S60:S69" si="25">C60*(D60+E60)*P60</f>
        <v>1.145966435988115</v>
      </c>
      <c r="T60" s="5">
        <f t="shared" ref="T60:T69" si="26">C60*(D60-E60)*P60</f>
        <v>0.89359042019852497</v>
      </c>
      <c r="U60" s="5">
        <f t="shared" ref="U60:U69" si="27">(S60-R60)</f>
        <v>0.12618800789479501</v>
      </c>
      <c r="V60" s="5">
        <f t="shared" ref="V60:V69" si="28">(R60-T60)</f>
        <v>0.12618800789479501</v>
      </c>
      <c r="W60" s="5">
        <f t="shared" ref="W60:W69" si="29">(U60+V60)/2</f>
        <v>0.12618800789479501</v>
      </c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1"/>
      <c r="BG60" s="1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  <c r="JY60" s="33"/>
      <c r="JZ60" s="33"/>
      <c r="KA60" s="33"/>
      <c r="KB60" s="33"/>
      <c r="KC60" s="33"/>
      <c r="KD60" s="33"/>
      <c r="KE60" s="33"/>
      <c r="KF60" s="33"/>
      <c r="KG60" s="33"/>
    </row>
    <row r="61" spans="1:293" s="5" customFormat="1">
      <c r="A61" s="6" t="s">
        <v>88</v>
      </c>
      <c r="B61" s="5">
        <v>220</v>
      </c>
      <c r="C61" s="69">
        <v>0.44225495999999997</v>
      </c>
      <c r="D61" s="69">
        <v>4.5876979999999996</v>
      </c>
      <c r="E61" s="69">
        <f t="shared" ref="E61:E69" si="30">(F61+G61)/2</f>
        <v>0.39354060000000002</v>
      </c>
      <c r="F61" s="70">
        <v>0.4039645</v>
      </c>
      <c r="G61" s="70">
        <v>0.38311669999999998</v>
      </c>
      <c r="H61" s="70">
        <v>8.6066989999999996E-2</v>
      </c>
      <c r="I61" s="70">
        <v>7.879564E-2</v>
      </c>
      <c r="J61" s="69">
        <f t="shared" ref="J61:J69" si="31">(H61+I61)/2</f>
        <v>8.2431315000000005E-2</v>
      </c>
      <c r="K61" s="69">
        <v>0</v>
      </c>
      <c r="L61" s="72" t="s">
        <v>86</v>
      </c>
      <c r="M61" s="72" t="s">
        <v>86</v>
      </c>
      <c r="N61" s="74">
        <v>1</v>
      </c>
      <c r="O61" s="5">
        <v>1</v>
      </c>
      <c r="P61" s="5">
        <v>1</v>
      </c>
      <c r="Q61" s="5">
        <f t="shared" si="23"/>
        <v>0.44225495999999997</v>
      </c>
      <c r="R61" s="5">
        <f t="shared" si="24"/>
        <v>2.0289321954820796</v>
      </c>
      <c r="S61" s="5">
        <f t="shared" si="25"/>
        <v>2.2029774777934557</v>
      </c>
      <c r="T61" s="5">
        <f t="shared" si="26"/>
        <v>1.8548869131707038</v>
      </c>
      <c r="U61" s="5">
        <f t="shared" si="27"/>
        <v>0.17404528231137606</v>
      </c>
      <c r="V61" s="5">
        <f t="shared" si="28"/>
        <v>0.17404528231137584</v>
      </c>
      <c r="W61" s="5">
        <f t="shared" si="29"/>
        <v>0.17404528231137595</v>
      </c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1"/>
      <c r="BG61" s="1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</row>
    <row r="62" spans="1:293" s="5" customFormat="1">
      <c r="A62" s="6"/>
      <c r="B62" s="5">
        <v>220</v>
      </c>
      <c r="C62" s="69">
        <v>0.9279598</v>
      </c>
      <c r="D62" s="69">
        <v>6.3399809999999999</v>
      </c>
      <c r="E62" s="69">
        <f t="shared" si="30"/>
        <v>0.24116255</v>
      </c>
      <c r="F62" s="70">
        <v>0.25466450000000002</v>
      </c>
      <c r="G62" s="70">
        <v>0.22766059999999999</v>
      </c>
      <c r="H62" s="70">
        <v>0.10871875</v>
      </c>
      <c r="I62" s="70">
        <v>0.1162754</v>
      </c>
      <c r="J62" s="69">
        <f t="shared" si="31"/>
        <v>0.112497075</v>
      </c>
      <c r="K62" s="69">
        <v>0</v>
      </c>
      <c r="L62" s="72" t="s">
        <v>86</v>
      </c>
      <c r="M62" s="72" t="s">
        <v>86</v>
      </c>
      <c r="N62" s="74">
        <v>1</v>
      </c>
      <c r="O62" s="5">
        <v>1</v>
      </c>
      <c r="P62" s="5">
        <v>1</v>
      </c>
      <c r="Q62" s="5">
        <f t="shared" si="23"/>
        <v>0.9279598</v>
      </c>
      <c r="R62" s="5">
        <f t="shared" si="24"/>
        <v>5.8832475007638001</v>
      </c>
      <c r="S62" s="5">
        <f t="shared" si="25"/>
        <v>6.1070366524292901</v>
      </c>
      <c r="T62" s="5">
        <f t="shared" si="26"/>
        <v>5.6594583490983092</v>
      </c>
      <c r="U62" s="5">
        <f t="shared" si="27"/>
        <v>0.22378915166548996</v>
      </c>
      <c r="V62" s="5">
        <f t="shared" si="28"/>
        <v>0.22378915166549085</v>
      </c>
      <c r="W62" s="5">
        <f t="shared" si="29"/>
        <v>0.2237891516654904</v>
      </c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1"/>
      <c r="BG62" s="1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  <c r="JZ62" s="33"/>
      <c r="KA62" s="33"/>
      <c r="KB62" s="33"/>
      <c r="KC62" s="33"/>
      <c r="KD62" s="33"/>
      <c r="KE62" s="33"/>
      <c r="KF62" s="33"/>
      <c r="KG62" s="33"/>
    </row>
    <row r="63" spans="1:293" s="5" customFormat="1">
      <c r="A63" s="6"/>
      <c r="B63" s="5">
        <v>220</v>
      </c>
      <c r="C63" s="69">
        <v>0.95889394999999999</v>
      </c>
      <c r="D63" s="69">
        <v>6.2338719999999999</v>
      </c>
      <c r="E63" s="69">
        <f t="shared" si="30"/>
        <v>0.21165945000000003</v>
      </c>
      <c r="F63" s="70">
        <v>0.25040240000000002</v>
      </c>
      <c r="G63" s="70">
        <v>0.1729165</v>
      </c>
      <c r="H63" s="70">
        <v>9.5521850000000005E-2</v>
      </c>
      <c r="I63" s="70">
        <v>0.13439845</v>
      </c>
      <c r="J63" s="69">
        <f t="shared" si="31"/>
        <v>0.11496015000000001</v>
      </c>
      <c r="K63" s="69">
        <v>0</v>
      </c>
      <c r="L63" s="72" t="s">
        <v>86</v>
      </c>
      <c r="M63" s="72" t="s">
        <v>86</v>
      </c>
      <c r="N63" s="74">
        <v>1</v>
      </c>
      <c r="O63" s="5">
        <v>1</v>
      </c>
      <c r="P63" s="5">
        <v>1</v>
      </c>
      <c r="Q63" s="5">
        <f t="shared" si="23"/>
        <v>0.95889394999999999</v>
      </c>
      <c r="R63" s="5">
        <f t="shared" si="24"/>
        <v>5.9776221458743999</v>
      </c>
      <c r="S63" s="5">
        <f t="shared" si="25"/>
        <v>6.1805811119397269</v>
      </c>
      <c r="T63" s="5">
        <f t="shared" si="26"/>
        <v>5.774663179809072</v>
      </c>
      <c r="U63" s="5">
        <f t="shared" si="27"/>
        <v>0.20295896606532704</v>
      </c>
      <c r="V63" s="5">
        <f t="shared" si="28"/>
        <v>0.20295896606532793</v>
      </c>
      <c r="W63" s="5">
        <f t="shared" si="29"/>
        <v>0.20295896606532748</v>
      </c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1"/>
      <c r="BG63" s="1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  <c r="JB63" s="33"/>
      <c r="JC63" s="33"/>
      <c r="JD63" s="33"/>
      <c r="JE63" s="33"/>
      <c r="JF63" s="33"/>
      <c r="JG63" s="33"/>
      <c r="JH63" s="33"/>
      <c r="JI63" s="33"/>
      <c r="JJ63" s="33"/>
      <c r="JK63" s="33"/>
      <c r="JL63" s="33"/>
      <c r="JM63" s="33"/>
      <c r="JN63" s="33"/>
      <c r="JO63" s="33"/>
      <c r="JP63" s="33"/>
      <c r="JQ63" s="33"/>
      <c r="JR63" s="33"/>
      <c r="JS63" s="33"/>
      <c r="JT63" s="33"/>
      <c r="JU63" s="33"/>
      <c r="JV63" s="33"/>
      <c r="JW63" s="33"/>
      <c r="JX63" s="33"/>
      <c r="JY63" s="33"/>
      <c r="JZ63" s="33"/>
      <c r="KA63" s="33"/>
      <c r="KB63" s="33"/>
      <c r="KC63" s="33"/>
      <c r="KD63" s="33"/>
      <c r="KE63" s="33"/>
      <c r="KF63" s="33"/>
      <c r="KG63" s="33"/>
    </row>
    <row r="64" spans="1:293" s="5" customFormat="1">
      <c r="A64" s="6"/>
      <c r="B64" s="5">
        <v>220</v>
      </c>
      <c r="C64" s="69">
        <v>1.6098494999999999</v>
      </c>
      <c r="D64" s="69">
        <v>6.8982406000000003</v>
      </c>
      <c r="E64" s="69">
        <f t="shared" si="30"/>
        <v>0.19840200000000002</v>
      </c>
      <c r="F64" s="70">
        <v>0.19680400000000001</v>
      </c>
      <c r="G64" s="70">
        <v>0.2</v>
      </c>
      <c r="H64" s="70">
        <v>0.1508304</v>
      </c>
      <c r="I64" s="70">
        <v>0.15481149999999999</v>
      </c>
      <c r="J64" s="69">
        <f t="shared" si="31"/>
        <v>0.15282095000000001</v>
      </c>
      <c r="K64" s="69">
        <v>0</v>
      </c>
      <c r="L64" s="72" t="s">
        <v>86</v>
      </c>
      <c r="M64" s="72" t="s">
        <v>86</v>
      </c>
      <c r="N64" s="74">
        <v>1</v>
      </c>
      <c r="O64" s="5">
        <v>1</v>
      </c>
      <c r="P64" s="5">
        <v>1</v>
      </c>
      <c r="Q64" s="5">
        <f t="shared" si="23"/>
        <v>1.6098494999999999</v>
      </c>
      <c r="R64" s="5">
        <f t="shared" si="24"/>
        <v>11.105129180789699</v>
      </c>
      <c r="S64" s="5">
        <f t="shared" si="25"/>
        <v>11.424526541288699</v>
      </c>
      <c r="T64" s="5">
        <f t="shared" si="26"/>
        <v>10.7857318202907</v>
      </c>
      <c r="U64" s="5">
        <f t="shared" si="27"/>
        <v>0.31939736049899992</v>
      </c>
      <c r="V64" s="5">
        <f t="shared" si="28"/>
        <v>0.31939736049899992</v>
      </c>
      <c r="W64" s="5">
        <f t="shared" si="29"/>
        <v>0.31939736049899992</v>
      </c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1"/>
      <c r="BG64" s="1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  <c r="JB64" s="33"/>
      <c r="JC64" s="33"/>
      <c r="JD64" s="33"/>
      <c r="JE64" s="33"/>
      <c r="JF64" s="33"/>
      <c r="JG64" s="33"/>
      <c r="JH64" s="33"/>
      <c r="JI64" s="33"/>
      <c r="JJ64" s="33"/>
      <c r="JK64" s="33"/>
      <c r="JL64" s="33"/>
      <c r="JM64" s="33"/>
      <c r="JN64" s="33"/>
      <c r="JO64" s="33"/>
      <c r="JP64" s="33"/>
      <c r="JQ64" s="33"/>
      <c r="JR64" s="33"/>
      <c r="JS64" s="33"/>
      <c r="JT64" s="33"/>
      <c r="JU64" s="33"/>
      <c r="JV64" s="33"/>
      <c r="JW64" s="33"/>
      <c r="JX64" s="33"/>
      <c r="JY64" s="33"/>
      <c r="JZ64" s="33"/>
      <c r="KA64" s="33"/>
      <c r="KB64" s="33"/>
      <c r="KC64" s="33"/>
      <c r="KD64" s="33"/>
      <c r="KE64" s="33"/>
      <c r="KF64" s="33"/>
      <c r="KG64" s="33"/>
    </row>
    <row r="65" spans="1:293" s="5" customFormat="1">
      <c r="A65" s="6"/>
      <c r="B65" s="5">
        <v>220</v>
      </c>
      <c r="C65" s="69">
        <v>2.0927470000000001</v>
      </c>
      <c r="D65" s="69">
        <v>6.8788629999999999</v>
      </c>
      <c r="E65" s="69">
        <f t="shared" si="30"/>
        <v>9.6755000000000008E-2</v>
      </c>
      <c r="F65" s="70">
        <v>9.7435300000000002E-2</v>
      </c>
      <c r="G65" s="70">
        <v>9.6074699999999999E-2</v>
      </c>
      <c r="H65" s="70">
        <v>0.25726130000000003</v>
      </c>
      <c r="I65" s="70">
        <v>0.26222580000000001</v>
      </c>
      <c r="J65" s="69">
        <f t="shared" si="31"/>
        <v>0.25974355000000005</v>
      </c>
      <c r="K65" s="69">
        <v>0</v>
      </c>
      <c r="L65" s="72" t="s">
        <v>86</v>
      </c>
      <c r="M65" s="72" t="s">
        <v>86</v>
      </c>
      <c r="N65" s="74">
        <v>1</v>
      </c>
      <c r="O65" s="5">
        <v>1</v>
      </c>
      <c r="P65" s="5">
        <v>1</v>
      </c>
      <c r="Q65" s="5">
        <f t="shared" si="23"/>
        <v>2.0927470000000001</v>
      </c>
      <c r="R65" s="5">
        <f t="shared" si="24"/>
        <v>14.395719906661</v>
      </c>
      <c r="S65" s="5">
        <f t="shared" si="25"/>
        <v>14.598203642646</v>
      </c>
      <c r="T65" s="5">
        <f t="shared" si="26"/>
        <v>14.193236170676</v>
      </c>
      <c r="U65" s="5">
        <f t="shared" si="27"/>
        <v>0.20248373598500002</v>
      </c>
      <c r="V65" s="5">
        <f t="shared" si="28"/>
        <v>0.20248373598500002</v>
      </c>
      <c r="W65" s="5">
        <f t="shared" si="29"/>
        <v>0.20248373598500002</v>
      </c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1"/>
      <c r="BG65" s="1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  <c r="JB65" s="33"/>
      <c r="JC65" s="33"/>
      <c r="JD65" s="33"/>
      <c r="JE65" s="33"/>
      <c r="JF65" s="33"/>
      <c r="JG65" s="33"/>
      <c r="JH65" s="33"/>
      <c r="JI65" s="33"/>
      <c r="JJ65" s="33"/>
      <c r="JK65" s="33"/>
      <c r="JL65" s="33"/>
      <c r="JM65" s="33"/>
      <c r="JN65" s="33"/>
      <c r="JO65" s="33"/>
      <c r="JP65" s="33"/>
      <c r="JQ65" s="33"/>
      <c r="JR65" s="33"/>
      <c r="JS65" s="33"/>
      <c r="JT65" s="33"/>
      <c r="JU65" s="33"/>
      <c r="JV65" s="33"/>
      <c r="JW65" s="33"/>
      <c r="JX65" s="33"/>
      <c r="JY65" s="33"/>
      <c r="JZ65" s="33"/>
      <c r="KA65" s="33"/>
      <c r="KB65" s="33"/>
      <c r="KC65" s="33"/>
      <c r="KD65" s="33"/>
      <c r="KE65" s="33"/>
      <c r="KF65" s="33"/>
      <c r="KG65" s="33"/>
    </row>
    <row r="66" spans="1:293" s="5" customFormat="1">
      <c r="A66" s="6"/>
      <c r="B66" s="5">
        <v>220</v>
      </c>
      <c r="C66" s="69">
        <v>2.9240135999999999</v>
      </c>
      <c r="D66" s="69">
        <v>6.9762982999999998</v>
      </c>
      <c r="E66" s="69">
        <f t="shared" si="30"/>
        <v>8.8436849999999997E-2</v>
      </c>
      <c r="F66" s="70">
        <v>9.8816000000000001E-2</v>
      </c>
      <c r="G66" s="70">
        <v>7.8057699999999994E-2</v>
      </c>
      <c r="H66" s="70">
        <v>0.22130059999999999</v>
      </c>
      <c r="I66" s="70">
        <v>0.1981974</v>
      </c>
      <c r="J66" s="69">
        <f t="shared" si="31"/>
        <v>0.20974899999999999</v>
      </c>
      <c r="K66" s="69">
        <v>0</v>
      </c>
      <c r="L66" s="72" t="s">
        <v>86</v>
      </c>
      <c r="M66" s="72" t="s">
        <v>86</v>
      </c>
      <c r="N66" s="74">
        <v>1</v>
      </c>
      <c r="O66" s="5">
        <v>1</v>
      </c>
      <c r="P66" s="5">
        <v>1</v>
      </c>
      <c r="Q66" s="5">
        <f t="shared" si="23"/>
        <v>2.9240135999999999</v>
      </c>
      <c r="R66" s="5">
        <f t="shared" si="24"/>
        <v>20.39879110685688</v>
      </c>
      <c r="S66" s="5">
        <f t="shared" si="25"/>
        <v>20.657381658998037</v>
      </c>
      <c r="T66" s="5">
        <f t="shared" si="26"/>
        <v>20.140200554715719</v>
      </c>
      <c r="U66" s="5">
        <f t="shared" si="27"/>
        <v>0.25859055214115756</v>
      </c>
      <c r="V66" s="5">
        <f t="shared" si="28"/>
        <v>0.25859055214116111</v>
      </c>
      <c r="W66" s="5">
        <f t="shared" si="29"/>
        <v>0.25859055214115934</v>
      </c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1"/>
      <c r="BG66" s="1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  <c r="JB66" s="33"/>
      <c r="JC66" s="33"/>
      <c r="JD66" s="33"/>
      <c r="JE66" s="33"/>
      <c r="JF66" s="33"/>
      <c r="JG66" s="33"/>
      <c r="JH66" s="33"/>
      <c r="JI66" s="33"/>
      <c r="JJ66" s="33"/>
      <c r="JK66" s="33"/>
      <c r="JL66" s="33"/>
      <c r="JM66" s="33"/>
      <c r="JN66" s="33"/>
      <c r="JO66" s="33"/>
      <c r="JP66" s="33"/>
      <c r="JQ66" s="33"/>
      <c r="JR66" s="33"/>
      <c r="JS66" s="33"/>
      <c r="JT66" s="33"/>
      <c r="JU66" s="33"/>
      <c r="JV66" s="33"/>
      <c r="JW66" s="33"/>
      <c r="JX66" s="33"/>
      <c r="JY66" s="33"/>
      <c r="JZ66" s="33"/>
      <c r="KA66" s="33"/>
      <c r="KB66" s="33"/>
      <c r="KC66" s="33"/>
      <c r="KD66" s="33"/>
      <c r="KE66" s="33"/>
      <c r="KF66" s="33"/>
      <c r="KG66" s="33"/>
    </row>
    <row r="67" spans="1:293" s="5" customFormat="1">
      <c r="A67" s="6"/>
      <c r="B67" s="5">
        <v>220</v>
      </c>
      <c r="C67" s="69">
        <v>3.5832430999999998</v>
      </c>
      <c r="D67" s="69">
        <v>7.338635</v>
      </c>
      <c r="E67" s="69">
        <f t="shared" si="30"/>
        <v>8.2809300000000002E-2</v>
      </c>
      <c r="F67" s="70">
        <v>0.1039476</v>
      </c>
      <c r="G67" s="70">
        <v>6.1670999999999997E-2</v>
      </c>
      <c r="H67" s="70">
        <v>0.22746369999999999</v>
      </c>
      <c r="I67" s="70">
        <v>0.24288190000000001</v>
      </c>
      <c r="J67" s="69">
        <f t="shared" si="31"/>
        <v>0.23517280000000002</v>
      </c>
      <c r="K67" s="69">
        <v>0</v>
      </c>
      <c r="L67" s="72" t="s">
        <v>86</v>
      </c>
      <c r="M67" s="72" t="s">
        <v>86</v>
      </c>
      <c r="N67" s="74">
        <v>1</v>
      </c>
      <c r="O67" s="5">
        <v>1</v>
      </c>
      <c r="P67" s="5">
        <v>1</v>
      </c>
      <c r="Q67" s="5">
        <f t="shared" si="23"/>
        <v>3.5832430999999998</v>
      </c>
      <c r="R67" s="5">
        <f t="shared" si="24"/>
        <v>26.296113227168497</v>
      </c>
      <c r="S67" s="5">
        <f t="shared" si="25"/>
        <v>26.59283908000933</v>
      </c>
      <c r="T67" s="5">
        <f t="shared" si="26"/>
        <v>25.999387374327668</v>
      </c>
      <c r="U67" s="5">
        <f t="shared" si="27"/>
        <v>0.29672585284083297</v>
      </c>
      <c r="V67" s="5">
        <f t="shared" si="28"/>
        <v>0.29672585284082942</v>
      </c>
      <c r="W67" s="5">
        <f t="shared" si="29"/>
        <v>0.29672585284083119</v>
      </c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1"/>
      <c r="BG67" s="1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  <c r="JB67" s="33"/>
      <c r="JC67" s="33"/>
      <c r="JD67" s="33"/>
      <c r="JE67" s="33"/>
      <c r="JF67" s="33"/>
      <c r="JG67" s="33"/>
      <c r="JH67" s="33"/>
      <c r="JI67" s="33"/>
      <c r="JJ67" s="33"/>
      <c r="JK67" s="33"/>
      <c r="JL67" s="33"/>
      <c r="JM67" s="33"/>
      <c r="JN67" s="33"/>
      <c r="JO67" s="33"/>
      <c r="JP67" s="33"/>
      <c r="JQ67" s="33"/>
      <c r="JR67" s="33"/>
      <c r="JS67" s="33"/>
      <c r="JT67" s="33"/>
      <c r="JU67" s="33"/>
      <c r="JV67" s="33"/>
      <c r="JW67" s="33"/>
      <c r="JX67" s="33"/>
      <c r="JY67" s="33"/>
      <c r="JZ67" s="33"/>
      <c r="KA67" s="33"/>
      <c r="KB67" s="33"/>
      <c r="KC67" s="33"/>
      <c r="KD67" s="33"/>
      <c r="KE67" s="33"/>
      <c r="KF67" s="33"/>
      <c r="KG67" s="33"/>
    </row>
    <row r="68" spans="1:293" s="5" customFormat="1">
      <c r="A68" s="6"/>
      <c r="B68" s="5">
        <v>220</v>
      </c>
      <c r="C68" s="69">
        <v>4.6276390000000003</v>
      </c>
      <c r="D68" s="69">
        <v>6.9959506999999999</v>
      </c>
      <c r="E68" s="69">
        <f t="shared" si="30"/>
        <v>8.8686000000000001E-2</v>
      </c>
      <c r="F68" s="70">
        <v>9.9093899999999999E-2</v>
      </c>
      <c r="G68" s="70">
        <v>7.8278100000000003E-2</v>
      </c>
      <c r="H68" s="70">
        <v>0.23654049999999999</v>
      </c>
      <c r="I68" s="70">
        <v>0.2492827</v>
      </c>
      <c r="J68" s="69">
        <f t="shared" si="31"/>
        <v>0.24291160000000001</v>
      </c>
      <c r="K68" s="69">
        <v>0</v>
      </c>
      <c r="L68" s="72" t="s">
        <v>86</v>
      </c>
      <c r="M68" s="72" t="s">
        <v>86</v>
      </c>
      <c r="N68" s="74">
        <v>1</v>
      </c>
      <c r="O68" s="5">
        <v>1</v>
      </c>
      <c r="P68" s="5">
        <v>1</v>
      </c>
      <c r="Q68" s="5">
        <f t="shared" si="23"/>
        <v>4.6276390000000003</v>
      </c>
      <c r="R68" s="5">
        <f t="shared" si="24"/>
        <v>32.374734301397304</v>
      </c>
      <c r="S68" s="5">
        <f t="shared" si="25"/>
        <v>32.785141093751299</v>
      </c>
      <c r="T68" s="5">
        <f t="shared" si="26"/>
        <v>31.964327509043301</v>
      </c>
      <c r="U68" s="5">
        <f t="shared" si="27"/>
        <v>0.4104067923539958</v>
      </c>
      <c r="V68" s="5">
        <f t="shared" si="28"/>
        <v>0.4104067923540029</v>
      </c>
      <c r="W68" s="5">
        <f t="shared" si="29"/>
        <v>0.41040679235399935</v>
      </c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1"/>
      <c r="BG68" s="1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  <c r="JB68" s="33"/>
      <c r="JC68" s="33"/>
      <c r="JD68" s="33"/>
      <c r="JE68" s="33"/>
      <c r="JF68" s="33"/>
      <c r="JG68" s="33"/>
      <c r="JH68" s="33"/>
      <c r="JI68" s="33"/>
      <c r="JJ68" s="33"/>
      <c r="JK68" s="33"/>
      <c r="JL68" s="33"/>
      <c r="JM68" s="33"/>
      <c r="JN68" s="33"/>
      <c r="JO68" s="33"/>
      <c r="JP68" s="33"/>
      <c r="JQ68" s="33"/>
      <c r="JR68" s="33"/>
      <c r="JS68" s="33"/>
      <c r="JT68" s="33"/>
      <c r="JU68" s="33"/>
      <c r="JV68" s="33"/>
      <c r="JW68" s="33"/>
      <c r="JX68" s="33"/>
      <c r="JY68" s="33"/>
      <c r="JZ68" s="33"/>
      <c r="KA68" s="33"/>
      <c r="KB68" s="33"/>
      <c r="KC68" s="33"/>
      <c r="KD68" s="33"/>
      <c r="KE68" s="33"/>
      <c r="KF68" s="33"/>
      <c r="KG68" s="33"/>
    </row>
    <row r="69" spans="1:293" s="5" customFormat="1">
      <c r="A69" s="6"/>
      <c r="B69" s="5">
        <v>220</v>
      </c>
      <c r="C69" s="69">
        <v>6.0951940000000002</v>
      </c>
      <c r="D69" s="69">
        <v>6.9959506999999999</v>
      </c>
      <c r="E69" s="69">
        <f t="shared" si="30"/>
        <v>0.18724315</v>
      </c>
      <c r="F69" s="70">
        <v>0.19959160000000001</v>
      </c>
      <c r="G69" s="70">
        <v>0.17489469999999999</v>
      </c>
      <c r="H69" s="70">
        <v>0.57107269999999999</v>
      </c>
      <c r="I69" s="70">
        <v>0.32833699999999999</v>
      </c>
      <c r="J69" s="69">
        <f t="shared" si="31"/>
        <v>0.44970484999999999</v>
      </c>
      <c r="K69" s="69">
        <v>0</v>
      </c>
      <c r="L69" s="72" t="s">
        <v>86</v>
      </c>
      <c r="M69" s="72" t="s">
        <v>86</v>
      </c>
      <c r="N69" s="74">
        <v>1</v>
      </c>
      <c r="O69" s="5">
        <v>1</v>
      </c>
      <c r="P69" s="5">
        <v>1</v>
      </c>
      <c r="Q69" s="5">
        <f t="shared" si="23"/>
        <v>6.0951940000000002</v>
      </c>
      <c r="R69" s="5">
        <f t="shared" si="24"/>
        <v>42.641676730935799</v>
      </c>
      <c r="S69" s="5">
        <f t="shared" si="25"/>
        <v>43.782960055356895</v>
      </c>
      <c r="T69" s="5">
        <f t="shared" si="26"/>
        <v>41.500393406514704</v>
      </c>
      <c r="U69" s="5">
        <f t="shared" si="27"/>
        <v>1.1412833244210958</v>
      </c>
      <c r="V69" s="5">
        <f t="shared" si="28"/>
        <v>1.1412833244210958</v>
      </c>
      <c r="W69" s="5">
        <f t="shared" si="29"/>
        <v>1.1412833244210958</v>
      </c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1"/>
      <c r="BG69" s="1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  <c r="JY69" s="33"/>
      <c r="JZ69" s="33"/>
      <c r="KA69" s="33"/>
      <c r="KB69" s="33"/>
      <c r="KC69" s="33"/>
      <c r="KD69" s="33"/>
      <c r="KE69" s="33"/>
      <c r="KF69" s="33"/>
      <c r="KG69" s="33"/>
    </row>
    <row r="70" spans="1:293" s="20" customFormat="1">
      <c r="A70" s="18" t="s">
        <v>5</v>
      </c>
      <c r="B70" s="19">
        <v>270</v>
      </c>
      <c r="C70" s="19">
        <v>25</v>
      </c>
      <c r="D70" s="19">
        <v>4.7163000000000004</v>
      </c>
      <c r="E70" s="19">
        <v>0.31719000000000003</v>
      </c>
      <c r="F70" s="19"/>
      <c r="G70" s="19"/>
      <c r="H70" s="19"/>
      <c r="I70" s="19"/>
      <c r="J70" s="19"/>
      <c r="K70" s="19">
        <v>70</v>
      </c>
      <c r="L70" s="22" t="s">
        <v>29</v>
      </c>
      <c r="M70" s="22" t="s">
        <v>33</v>
      </c>
      <c r="N70" s="24">
        <v>1</v>
      </c>
      <c r="O70" s="20">
        <v>1</v>
      </c>
      <c r="P70" s="20">
        <f t="shared" si="22"/>
        <v>1</v>
      </c>
      <c r="Q70" s="21">
        <v>25.00900635</v>
      </c>
      <c r="R70" s="20">
        <f t="shared" si="4"/>
        <v>117.90750000000001</v>
      </c>
      <c r="S70" s="20">
        <f t="shared" si="5"/>
        <v>125.83725000000001</v>
      </c>
      <c r="T70" s="20">
        <f t="shared" si="6"/>
        <v>109.97775000000001</v>
      </c>
      <c r="U70">
        <f t="shared" si="7"/>
        <v>7.9297499999999985</v>
      </c>
      <c r="V70">
        <f t="shared" si="8"/>
        <v>7.9297499999999985</v>
      </c>
      <c r="W70">
        <f t="shared" si="9"/>
        <v>7.9297499999999985</v>
      </c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1"/>
      <c r="BG70" s="1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  <c r="JB70" s="33"/>
      <c r="JC70" s="33"/>
      <c r="JD70" s="33"/>
      <c r="JE70" s="33"/>
      <c r="JF70" s="33"/>
      <c r="JG70" s="33"/>
      <c r="JH70" s="33"/>
      <c r="JI70" s="33"/>
      <c r="JJ70" s="33"/>
      <c r="JK70" s="33"/>
      <c r="JL70" s="33"/>
      <c r="JM70" s="33"/>
      <c r="JN70" s="33"/>
      <c r="JO70" s="33"/>
      <c r="JP70" s="33"/>
      <c r="JQ70" s="33"/>
      <c r="JR70" s="33"/>
      <c r="JS70" s="33"/>
      <c r="JT70" s="33"/>
      <c r="JU70" s="33"/>
      <c r="JV70" s="33"/>
      <c r="JW70" s="33"/>
      <c r="JX70" s="33"/>
      <c r="JY70" s="33"/>
      <c r="JZ70" s="33"/>
      <c r="KA70" s="33"/>
      <c r="KB70" s="33"/>
      <c r="KC70" s="33"/>
      <c r="KD70" s="33"/>
      <c r="KE70" s="33"/>
      <c r="KF70" s="33"/>
      <c r="KG70" s="33"/>
    </row>
    <row r="71" spans="1:293" s="20" customFormat="1">
      <c r="A71" s="65" t="s">
        <v>64</v>
      </c>
      <c r="B71" s="19">
        <v>270</v>
      </c>
      <c r="C71" s="19">
        <f>C70+10</f>
        <v>35</v>
      </c>
      <c r="D71" s="19">
        <v>4.0404</v>
      </c>
      <c r="E71" s="19">
        <v>0.22955</v>
      </c>
      <c r="F71" s="19"/>
      <c r="G71" s="19"/>
      <c r="H71" s="19"/>
      <c r="I71" s="19"/>
      <c r="J71" s="19"/>
      <c r="K71" s="19">
        <v>70</v>
      </c>
      <c r="L71" s="22" t="s">
        <v>29</v>
      </c>
      <c r="M71" s="22" t="s">
        <v>33</v>
      </c>
      <c r="N71" s="24">
        <v>1</v>
      </c>
      <c r="O71" s="20">
        <v>1</v>
      </c>
      <c r="P71" s="20">
        <f t="shared" si="22"/>
        <v>1</v>
      </c>
      <c r="Q71" s="21">
        <v>33.85829408</v>
      </c>
      <c r="R71" s="20">
        <f t="shared" si="4"/>
        <v>141.41399999999999</v>
      </c>
      <c r="S71" s="20">
        <f t="shared" si="5"/>
        <v>149.44825</v>
      </c>
      <c r="T71" s="20">
        <f t="shared" si="6"/>
        <v>133.37975</v>
      </c>
      <c r="U71">
        <f t="shared" si="7"/>
        <v>8.0342500000000143</v>
      </c>
      <c r="V71">
        <f t="shared" si="8"/>
        <v>8.0342499999999859</v>
      </c>
      <c r="W71">
        <f t="shared" si="9"/>
        <v>8.0342500000000001</v>
      </c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1"/>
      <c r="BG71" s="1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  <c r="JB71" s="33"/>
      <c r="JC71" s="33"/>
      <c r="JD71" s="33"/>
      <c r="JE71" s="33"/>
      <c r="JF71" s="33"/>
      <c r="JG71" s="33"/>
      <c r="JH71" s="33"/>
      <c r="JI71" s="33"/>
      <c r="JJ71" s="33"/>
      <c r="JK71" s="33"/>
      <c r="JL71" s="33"/>
      <c r="JM71" s="33"/>
      <c r="JN71" s="33"/>
      <c r="JO71" s="33"/>
      <c r="JP71" s="33"/>
      <c r="JQ71" s="33"/>
      <c r="JR71" s="33"/>
      <c r="JS71" s="33"/>
      <c r="JT71" s="33"/>
      <c r="JU71" s="33"/>
      <c r="JV71" s="33"/>
      <c r="JW71" s="33"/>
      <c r="JX71" s="33"/>
      <c r="JY71" s="33"/>
      <c r="JZ71" s="33"/>
      <c r="KA71" s="33"/>
      <c r="KB71" s="33"/>
      <c r="KC71" s="33"/>
      <c r="KD71" s="33"/>
      <c r="KE71" s="33"/>
      <c r="KF71" s="33"/>
      <c r="KG71" s="33"/>
    </row>
    <row r="72" spans="1:293" s="20" customFormat="1">
      <c r="A72" s="65" t="s">
        <v>68</v>
      </c>
      <c r="B72" s="19">
        <v>270</v>
      </c>
      <c r="C72" s="19">
        <f t="shared" ref="C72:C79" si="32">C71+10</f>
        <v>45</v>
      </c>
      <c r="D72" s="19">
        <v>3.6145999999999998</v>
      </c>
      <c r="E72" s="19">
        <v>0.20033000000000001</v>
      </c>
      <c r="F72" s="19"/>
      <c r="G72" s="19"/>
      <c r="H72" s="19"/>
      <c r="I72" s="19"/>
      <c r="J72" s="19"/>
      <c r="K72" s="19">
        <v>70</v>
      </c>
      <c r="L72" s="22" t="s">
        <v>29</v>
      </c>
      <c r="M72" s="22" t="s">
        <v>33</v>
      </c>
      <c r="N72" s="24">
        <v>1</v>
      </c>
      <c r="O72" s="20">
        <v>1</v>
      </c>
      <c r="P72" s="20">
        <f t="shared" si="22"/>
        <v>1</v>
      </c>
      <c r="Q72" s="21">
        <v>42.448157790000003</v>
      </c>
      <c r="R72" s="20">
        <f t="shared" si="4"/>
        <v>162.65699999999998</v>
      </c>
      <c r="S72" s="20">
        <f t="shared" si="5"/>
        <v>171.67185000000001</v>
      </c>
      <c r="T72" s="20">
        <f t="shared" si="6"/>
        <v>153.64214999999999</v>
      </c>
      <c r="U72">
        <f t="shared" si="7"/>
        <v>9.014850000000024</v>
      </c>
      <c r="V72">
        <f t="shared" si="8"/>
        <v>9.0148499999999956</v>
      </c>
      <c r="W72">
        <f t="shared" si="9"/>
        <v>9.0148500000000098</v>
      </c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1"/>
      <c r="BG72" s="1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  <c r="JB72" s="33"/>
      <c r="JC72" s="33"/>
      <c r="JD72" s="33"/>
      <c r="JE72" s="33"/>
      <c r="JF72" s="33"/>
      <c r="JG72" s="33"/>
      <c r="JH72" s="33"/>
      <c r="JI72" s="33"/>
      <c r="JJ72" s="33"/>
      <c r="JK72" s="33"/>
      <c r="JL72" s="33"/>
      <c r="JM72" s="33"/>
      <c r="JN72" s="33"/>
      <c r="JO72" s="33"/>
      <c r="JP72" s="33"/>
      <c r="JQ72" s="33"/>
      <c r="JR72" s="33"/>
      <c r="JS72" s="33"/>
      <c r="JT72" s="33"/>
      <c r="JU72" s="33"/>
      <c r="JV72" s="33"/>
      <c r="JW72" s="33"/>
      <c r="JX72" s="33"/>
      <c r="JY72" s="33"/>
      <c r="JZ72" s="33"/>
      <c r="KA72" s="33"/>
      <c r="KB72" s="33"/>
      <c r="KC72" s="33"/>
      <c r="KD72" s="33"/>
      <c r="KE72" s="33"/>
      <c r="KF72" s="33"/>
      <c r="KG72" s="33"/>
    </row>
    <row r="73" spans="1:293" s="20" customFormat="1">
      <c r="A73" s="18"/>
      <c r="B73" s="19">
        <v>270</v>
      </c>
      <c r="C73" s="19">
        <f t="shared" si="32"/>
        <v>55</v>
      </c>
      <c r="D73" s="19">
        <v>3.3637999999999999</v>
      </c>
      <c r="E73" s="19">
        <v>0.18781</v>
      </c>
      <c r="F73" s="19"/>
      <c r="G73" s="19"/>
      <c r="H73" s="19"/>
      <c r="I73" s="19"/>
      <c r="J73" s="19"/>
      <c r="K73" s="19">
        <v>70</v>
      </c>
      <c r="L73" s="22" t="s">
        <v>29</v>
      </c>
      <c r="M73" s="22" t="s">
        <v>33</v>
      </c>
      <c r="N73" s="24">
        <v>1</v>
      </c>
      <c r="O73" s="20">
        <v>1</v>
      </c>
      <c r="P73" s="20">
        <f t="shared" si="22"/>
        <v>1</v>
      </c>
      <c r="Q73" s="21">
        <v>50.842964289999998</v>
      </c>
      <c r="R73" s="20">
        <f t="shared" si="4"/>
        <v>185.00899999999999</v>
      </c>
      <c r="S73" s="20">
        <f t="shared" si="5"/>
        <v>195.33855</v>
      </c>
      <c r="T73" s="20">
        <f t="shared" si="6"/>
        <v>174.67945</v>
      </c>
      <c r="U73">
        <f t="shared" si="7"/>
        <v>10.329550000000012</v>
      </c>
      <c r="V73">
        <f t="shared" si="8"/>
        <v>10.329549999999983</v>
      </c>
      <c r="W73">
        <f t="shared" si="9"/>
        <v>10.329549999999998</v>
      </c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1"/>
      <c r="BG73" s="1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  <c r="JY73" s="33"/>
      <c r="JZ73" s="33"/>
      <c r="KA73" s="33"/>
      <c r="KB73" s="33"/>
      <c r="KC73" s="33"/>
      <c r="KD73" s="33"/>
      <c r="KE73" s="33"/>
      <c r="KF73" s="33"/>
      <c r="KG73" s="33"/>
    </row>
    <row r="74" spans="1:293" s="20" customFormat="1">
      <c r="A74" s="18"/>
      <c r="B74" s="19">
        <v>270</v>
      </c>
      <c r="C74" s="19">
        <f t="shared" si="32"/>
        <v>65</v>
      </c>
      <c r="D74" s="19">
        <v>3.0295999999999998</v>
      </c>
      <c r="E74" s="19">
        <v>0.17111999999999999</v>
      </c>
      <c r="F74" s="19"/>
      <c r="G74" s="19"/>
      <c r="H74" s="19"/>
      <c r="I74" s="19"/>
      <c r="J74" s="19"/>
      <c r="K74" s="19">
        <v>70</v>
      </c>
      <c r="L74" s="22" t="s">
        <v>29</v>
      </c>
      <c r="M74" s="22" t="s">
        <v>33</v>
      </c>
      <c r="N74" s="24">
        <v>1</v>
      </c>
      <c r="O74" s="20">
        <v>1</v>
      </c>
      <c r="P74" s="20">
        <f t="shared" si="22"/>
        <v>1</v>
      </c>
      <c r="Q74" s="21">
        <v>59.082076579999999</v>
      </c>
      <c r="R74" s="20">
        <f t="shared" si="4"/>
        <v>196.92399999999998</v>
      </c>
      <c r="S74" s="20">
        <f t="shared" si="5"/>
        <v>208.04679999999999</v>
      </c>
      <c r="T74" s="20">
        <f t="shared" si="6"/>
        <v>185.80119999999997</v>
      </c>
      <c r="U74">
        <f t="shared" si="7"/>
        <v>11.122800000000012</v>
      </c>
      <c r="V74">
        <f t="shared" si="8"/>
        <v>11.122800000000012</v>
      </c>
      <c r="W74">
        <f t="shared" si="9"/>
        <v>11.122800000000012</v>
      </c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1"/>
      <c r="BG74" s="1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  <c r="JB74" s="33"/>
      <c r="JC74" s="33"/>
      <c r="JD74" s="33"/>
      <c r="JE74" s="33"/>
      <c r="JF74" s="33"/>
      <c r="JG74" s="33"/>
      <c r="JH74" s="33"/>
      <c r="JI74" s="33"/>
      <c r="JJ74" s="33"/>
      <c r="JK74" s="33"/>
      <c r="JL74" s="33"/>
      <c r="JM74" s="33"/>
      <c r="JN74" s="33"/>
      <c r="JO74" s="33"/>
      <c r="JP74" s="33"/>
      <c r="JQ74" s="33"/>
      <c r="JR74" s="33"/>
      <c r="JS74" s="33"/>
      <c r="JT74" s="33"/>
      <c r="JU74" s="33"/>
      <c r="JV74" s="33"/>
      <c r="JW74" s="33"/>
      <c r="JX74" s="33"/>
      <c r="JY74" s="33"/>
      <c r="JZ74" s="33"/>
      <c r="KA74" s="33"/>
      <c r="KB74" s="33"/>
      <c r="KC74" s="33"/>
      <c r="KD74" s="33"/>
      <c r="KE74" s="33"/>
      <c r="KF74" s="33"/>
      <c r="KG74" s="33"/>
    </row>
    <row r="75" spans="1:293" s="20" customFormat="1">
      <c r="A75" s="18"/>
      <c r="B75" s="19">
        <v>270</v>
      </c>
      <c r="C75" s="19">
        <f t="shared" si="32"/>
        <v>75</v>
      </c>
      <c r="D75" s="19">
        <v>2.8788</v>
      </c>
      <c r="E75" s="19">
        <v>0.16694000000000001</v>
      </c>
      <c r="F75" s="19"/>
      <c r="G75" s="19"/>
      <c r="H75" s="19"/>
      <c r="I75" s="19"/>
      <c r="J75" s="19"/>
      <c r="K75" s="19">
        <v>70</v>
      </c>
      <c r="L75" s="22" t="s">
        <v>29</v>
      </c>
      <c r="M75" s="22" t="s">
        <v>33</v>
      </c>
      <c r="N75" s="24">
        <v>1</v>
      </c>
      <c r="O75" s="20">
        <v>1</v>
      </c>
      <c r="P75" s="20">
        <f t="shared" si="22"/>
        <v>1</v>
      </c>
      <c r="Q75" s="21">
        <v>67.191999589999995</v>
      </c>
      <c r="R75" s="20">
        <f t="shared" si="4"/>
        <v>215.91</v>
      </c>
      <c r="S75" s="20">
        <f t="shared" si="5"/>
        <v>228.43049999999999</v>
      </c>
      <c r="T75" s="20">
        <f t="shared" si="6"/>
        <v>203.3895</v>
      </c>
      <c r="U75">
        <f t="shared" si="7"/>
        <v>12.520499999999998</v>
      </c>
      <c r="V75">
        <f t="shared" si="8"/>
        <v>12.520499999999998</v>
      </c>
      <c r="W75">
        <f t="shared" si="9"/>
        <v>12.520499999999998</v>
      </c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  <c r="JB75" s="33"/>
      <c r="JC75" s="33"/>
      <c r="JD75" s="33"/>
      <c r="JE75" s="33"/>
      <c r="JF75" s="33"/>
      <c r="JG75" s="33"/>
      <c r="JH75" s="33"/>
      <c r="JI75" s="33"/>
      <c r="JJ75" s="33"/>
      <c r="JK75" s="33"/>
      <c r="JL75" s="33"/>
      <c r="JM75" s="33"/>
      <c r="JN75" s="33"/>
      <c r="JO75" s="33"/>
      <c r="JP75" s="33"/>
      <c r="JQ75" s="33"/>
      <c r="JR75" s="33"/>
      <c r="JS75" s="33"/>
      <c r="JT75" s="33"/>
      <c r="JU75" s="33"/>
      <c r="JV75" s="33"/>
      <c r="JW75" s="33"/>
      <c r="JX75" s="33"/>
      <c r="JY75" s="33"/>
      <c r="JZ75" s="33"/>
      <c r="KA75" s="33"/>
      <c r="KB75" s="33"/>
      <c r="KC75" s="33"/>
      <c r="KD75" s="33"/>
      <c r="KE75" s="33"/>
      <c r="KF75" s="33"/>
      <c r="KG75" s="33"/>
    </row>
    <row r="76" spans="1:293" s="20" customFormat="1">
      <c r="A76" s="25"/>
      <c r="B76" s="19">
        <v>270</v>
      </c>
      <c r="C76" s="19">
        <f t="shared" si="32"/>
        <v>85</v>
      </c>
      <c r="D76" s="19">
        <v>2.7528999999999999</v>
      </c>
      <c r="E76" s="19">
        <v>0.16694000000000001</v>
      </c>
      <c r="F76" s="19"/>
      <c r="G76" s="19"/>
      <c r="H76" s="19"/>
      <c r="I76" s="19"/>
      <c r="J76" s="19"/>
      <c r="K76" s="19">
        <v>70</v>
      </c>
      <c r="L76" s="22" t="s">
        <v>29</v>
      </c>
      <c r="M76" s="22" t="s">
        <v>33</v>
      </c>
      <c r="N76" s="24">
        <v>1</v>
      </c>
      <c r="O76" s="20">
        <v>1</v>
      </c>
      <c r="P76" s="20">
        <f t="shared" si="22"/>
        <v>1</v>
      </c>
      <c r="Q76" s="21">
        <v>75.191760790000004</v>
      </c>
      <c r="R76" s="20">
        <f t="shared" si="4"/>
        <v>233.9965</v>
      </c>
      <c r="S76" s="20">
        <f t="shared" si="5"/>
        <v>248.18639999999999</v>
      </c>
      <c r="T76" s="20">
        <f t="shared" si="6"/>
        <v>219.8066</v>
      </c>
      <c r="U76">
        <f t="shared" si="7"/>
        <v>14.189899999999994</v>
      </c>
      <c r="V76">
        <f t="shared" si="8"/>
        <v>14.189899999999994</v>
      </c>
      <c r="W76">
        <f t="shared" si="9"/>
        <v>14.189899999999994</v>
      </c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  <c r="JB76" s="33"/>
      <c r="JC76" s="33"/>
      <c r="JD76" s="33"/>
      <c r="JE76" s="33"/>
      <c r="JF76" s="33"/>
      <c r="JG76" s="33"/>
      <c r="JH76" s="33"/>
      <c r="JI76" s="33"/>
      <c r="JJ76" s="33"/>
      <c r="JK76" s="33"/>
      <c r="JL76" s="33"/>
      <c r="JM76" s="33"/>
      <c r="JN76" s="33"/>
      <c r="JO76" s="33"/>
      <c r="JP76" s="33"/>
      <c r="JQ76" s="33"/>
      <c r="JR76" s="33"/>
      <c r="JS76" s="33"/>
      <c r="JT76" s="33"/>
      <c r="JU76" s="33"/>
      <c r="JV76" s="33"/>
      <c r="JW76" s="33"/>
      <c r="JX76" s="33"/>
      <c r="JY76" s="33"/>
      <c r="JZ76" s="33"/>
      <c r="KA76" s="33"/>
      <c r="KB76" s="33"/>
      <c r="KC76" s="33"/>
      <c r="KD76" s="33"/>
      <c r="KE76" s="33"/>
      <c r="KF76" s="33"/>
      <c r="KG76" s="33"/>
    </row>
    <row r="77" spans="1:293" s="20" customFormat="1">
      <c r="A77" s="18"/>
      <c r="B77" s="19">
        <v>270</v>
      </c>
      <c r="C77" s="19">
        <f t="shared" si="32"/>
        <v>95</v>
      </c>
      <c r="D77" s="19">
        <v>2.4188000000000001</v>
      </c>
      <c r="E77" s="19">
        <v>0.15859999999999999</v>
      </c>
      <c r="F77" s="19"/>
      <c r="G77" s="19"/>
      <c r="H77" s="19"/>
      <c r="I77" s="19"/>
      <c r="J77" s="19"/>
      <c r="K77" s="19">
        <v>70</v>
      </c>
      <c r="L77" s="22" t="s">
        <v>29</v>
      </c>
      <c r="M77" s="22" t="s">
        <v>33</v>
      </c>
      <c r="N77" s="24">
        <v>1</v>
      </c>
      <c r="O77" s="20">
        <v>1</v>
      </c>
      <c r="P77" s="20">
        <f t="shared" si="22"/>
        <v>1</v>
      </c>
      <c r="Q77" s="21">
        <v>83.095661190000001</v>
      </c>
      <c r="R77" s="20">
        <f t="shared" si="4"/>
        <v>229.786</v>
      </c>
      <c r="S77" s="20">
        <f t="shared" si="5"/>
        <v>244.85299999999998</v>
      </c>
      <c r="T77" s="20">
        <f t="shared" si="6"/>
        <v>214.71900000000002</v>
      </c>
      <c r="U77">
        <f t="shared" si="7"/>
        <v>15.066999999999979</v>
      </c>
      <c r="V77">
        <f t="shared" si="8"/>
        <v>15.066999999999979</v>
      </c>
      <c r="W77">
        <f t="shared" si="9"/>
        <v>15.066999999999979</v>
      </c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  <c r="JY77" s="33"/>
      <c r="JZ77" s="33"/>
      <c r="KA77" s="33"/>
      <c r="KB77" s="33"/>
      <c r="KC77" s="33"/>
      <c r="KD77" s="33"/>
      <c r="KE77" s="33"/>
      <c r="KF77" s="33"/>
      <c r="KG77" s="33"/>
    </row>
    <row r="78" spans="1:293" s="20" customFormat="1">
      <c r="A78" s="18"/>
      <c r="B78" s="19">
        <v>270</v>
      </c>
      <c r="C78" s="19">
        <f t="shared" si="32"/>
        <v>105</v>
      </c>
      <c r="D78" s="19">
        <v>2.4596</v>
      </c>
      <c r="E78" s="19">
        <v>0.15442</v>
      </c>
      <c r="F78" s="19"/>
      <c r="G78" s="19"/>
      <c r="H78" s="19"/>
      <c r="I78" s="19"/>
      <c r="J78" s="19"/>
      <c r="K78" s="19">
        <v>70</v>
      </c>
      <c r="L78" s="22" t="s">
        <v>29</v>
      </c>
      <c r="M78" s="22" t="s">
        <v>33</v>
      </c>
      <c r="N78" s="24">
        <v>1</v>
      </c>
      <c r="O78" s="20">
        <v>1</v>
      </c>
      <c r="P78" s="20">
        <f t="shared" si="22"/>
        <v>1</v>
      </c>
      <c r="Q78" s="21">
        <v>90.914827759999994</v>
      </c>
      <c r="R78" s="20">
        <f t="shared" si="4"/>
        <v>258.25799999999998</v>
      </c>
      <c r="S78" s="20">
        <f t="shared" si="5"/>
        <v>274.47210000000001</v>
      </c>
      <c r="T78" s="20">
        <f t="shared" si="6"/>
        <v>242.04390000000001</v>
      </c>
      <c r="U78">
        <f t="shared" si="7"/>
        <v>16.21410000000003</v>
      </c>
      <c r="V78">
        <f t="shared" si="8"/>
        <v>16.214099999999974</v>
      </c>
      <c r="W78">
        <f t="shared" si="9"/>
        <v>16.214100000000002</v>
      </c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  <c r="JY78" s="33"/>
      <c r="JZ78" s="33"/>
      <c r="KA78" s="33"/>
      <c r="KB78" s="33"/>
      <c r="KC78" s="33"/>
      <c r="KD78" s="33"/>
      <c r="KE78" s="33"/>
      <c r="KF78" s="33"/>
      <c r="KG78" s="33"/>
    </row>
    <row r="79" spans="1:293" s="20" customFormat="1">
      <c r="A79" s="25"/>
      <c r="B79" s="19">
        <v>270</v>
      </c>
      <c r="C79" s="19">
        <f t="shared" si="32"/>
        <v>115</v>
      </c>
      <c r="D79" s="19">
        <v>2.3420999999999998</v>
      </c>
      <c r="E79" s="19">
        <v>0.15442</v>
      </c>
      <c r="F79" s="19"/>
      <c r="G79" s="19"/>
      <c r="H79" s="19"/>
      <c r="I79" s="19"/>
      <c r="J79" s="19"/>
      <c r="K79" s="19">
        <v>70</v>
      </c>
      <c r="L79" s="22" t="s">
        <v>29</v>
      </c>
      <c r="M79" s="22" t="s">
        <v>33</v>
      </c>
      <c r="N79" s="24">
        <v>1</v>
      </c>
      <c r="O79" s="20">
        <v>1</v>
      </c>
      <c r="P79" s="20">
        <f t="shared" si="22"/>
        <v>1</v>
      </c>
      <c r="Q79" s="21">
        <v>98.658155179999994</v>
      </c>
      <c r="R79" s="20">
        <f t="shared" si="4"/>
        <v>269.3415</v>
      </c>
      <c r="S79" s="20">
        <f t="shared" si="5"/>
        <v>287.09979999999996</v>
      </c>
      <c r="T79" s="20">
        <f t="shared" si="6"/>
        <v>251.58319999999998</v>
      </c>
      <c r="U79">
        <f t="shared" si="7"/>
        <v>17.758299999999963</v>
      </c>
      <c r="V79">
        <f t="shared" si="8"/>
        <v>17.75830000000002</v>
      </c>
      <c r="W79">
        <f t="shared" si="9"/>
        <v>17.758299999999991</v>
      </c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  <c r="JB79" s="33"/>
      <c r="JC79" s="33"/>
      <c r="JD79" s="33"/>
      <c r="JE79" s="33"/>
      <c r="JF79" s="33"/>
      <c r="JG79" s="33"/>
      <c r="JH79" s="33"/>
      <c r="JI79" s="33"/>
      <c r="JJ79" s="33"/>
      <c r="JK79" s="33"/>
      <c r="JL79" s="33"/>
      <c r="JM79" s="33"/>
      <c r="JN79" s="33"/>
      <c r="JO79" s="33"/>
      <c r="JP79" s="33"/>
      <c r="JQ79" s="33"/>
      <c r="JR79" s="33"/>
      <c r="JS79" s="33"/>
      <c r="JT79" s="33"/>
      <c r="JU79" s="33"/>
      <c r="JV79" s="33"/>
      <c r="JW79" s="33"/>
      <c r="JX79" s="33"/>
      <c r="JY79" s="33"/>
      <c r="JZ79" s="33"/>
      <c r="KA79" s="33"/>
      <c r="KB79" s="33"/>
      <c r="KC79" s="33"/>
      <c r="KD79" s="33"/>
      <c r="KE79" s="33"/>
      <c r="KF79" s="33"/>
      <c r="KG79" s="33"/>
    </row>
    <row r="80" spans="1:293">
      <c r="A80" s="10" t="s">
        <v>24</v>
      </c>
      <c r="B80" s="4">
        <v>395.7</v>
      </c>
      <c r="C80" s="3">
        <v>0.34251186</v>
      </c>
      <c r="D80" s="3">
        <v>7.0155440000000002</v>
      </c>
      <c r="E80" s="4">
        <f>0.071*D80</f>
        <v>0.49810362399999997</v>
      </c>
      <c r="F80" s="4"/>
      <c r="G80" s="4"/>
      <c r="H80" s="4"/>
      <c r="I80" s="4"/>
      <c r="J80" s="4"/>
      <c r="K80" s="4">
        <v>3.7</v>
      </c>
      <c r="L80" s="3">
        <v>4.7474999999999996</v>
      </c>
      <c r="M80" s="3">
        <f>L80/1.85</f>
        <v>2.5662162162162159</v>
      </c>
      <c r="N80" s="15">
        <v>0.51572499999999999</v>
      </c>
      <c r="O80">
        <f t="shared" ref="O80:O129" si="33">-0.03754*M80^2+0.5266*M80-0.84645</f>
        <v>0.25770107826880906</v>
      </c>
      <c r="P80">
        <v>1</v>
      </c>
      <c r="Q80">
        <f>C80</f>
        <v>0.34251186</v>
      </c>
      <c r="R80">
        <f t="shared" si="4"/>
        <v>2.40290702435184</v>
      </c>
      <c r="S80">
        <f t="shared" si="5"/>
        <v>2.5735134230808208</v>
      </c>
      <c r="T80">
        <f t="shared" si="6"/>
        <v>2.2323006256228597</v>
      </c>
      <c r="U80">
        <f t="shared" si="7"/>
        <v>0.17060639872898076</v>
      </c>
      <c r="V80">
        <f t="shared" si="8"/>
        <v>0.17060639872898031</v>
      </c>
      <c r="W80">
        <f t="shared" si="9"/>
        <v>0.17060639872898054</v>
      </c>
    </row>
    <row r="81" spans="1:23">
      <c r="A81" s="11" t="s">
        <v>69</v>
      </c>
      <c r="B81" s="4">
        <v>395.7</v>
      </c>
      <c r="C81" s="3">
        <v>0.37385819999999997</v>
      </c>
      <c r="D81" s="3">
        <v>7.0431780000000002</v>
      </c>
      <c r="E81" s="4">
        <f t="shared" ref="E81:E106" si="34">0.071*D81</f>
        <v>0.50006563799999992</v>
      </c>
      <c r="F81" s="4"/>
      <c r="G81" s="4"/>
      <c r="H81" s="4"/>
      <c r="I81" s="4"/>
      <c r="J81" s="4"/>
      <c r="K81" s="4">
        <v>3.7</v>
      </c>
      <c r="L81" s="3">
        <v>4.7474999999999996</v>
      </c>
      <c r="M81" s="3">
        <f t="shared" ref="M81:M106" si="35">L81/1.85</f>
        <v>2.5662162162162159</v>
      </c>
      <c r="N81" s="15">
        <v>0.51572499999999999</v>
      </c>
      <c r="O81">
        <f t="shared" si="33"/>
        <v>0.25770107826880906</v>
      </c>
      <c r="P81">
        <v>1</v>
      </c>
      <c r="Q81">
        <f t="shared" ref="Q81:Q144" si="36">C81</f>
        <v>0.37385819999999997</v>
      </c>
      <c r="R81">
        <f t="shared" si="4"/>
        <v>2.6331498493595999</v>
      </c>
      <c r="S81">
        <f t="shared" si="5"/>
        <v>2.8201034886641314</v>
      </c>
      <c r="T81">
        <f t="shared" si="6"/>
        <v>2.4461962100550685</v>
      </c>
      <c r="U81">
        <f t="shared" si="7"/>
        <v>0.18695363930453146</v>
      </c>
      <c r="V81">
        <f t="shared" si="8"/>
        <v>0.18695363930453146</v>
      </c>
      <c r="W81">
        <f t="shared" si="9"/>
        <v>0.18695363930453146</v>
      </c>
    </row>
    <row r="82" spans="1:23">
      <c r="A82" s="9" t="s">
        <v>81</v>
      </c>
      <c r="B82" s="4">
        <v>395.7</v>
      </c>
      <c r="C82" s="3">
        <v>0.44313130000000001</v>
      </c>
      <c r="D82" s="3">
        <v>7.0431780000000002</v>
      </c>
      <c r="E82" s="4">
        <f t="shared" si="34"/>
        <v>0.50006563799999992</v>
      </c>
      <c r="F82" s="4"/>
      <c r="G82" s="4"/>
      <c r="H82" s="4"/>
      <c r="I82" s="4"/>
      <c r="J82" s="4"/>
      <c r="K82" s="4">
        <v>3.7</v>
      </c>
      <c r="L82" s="3">
        <v>4.7474999999999996</v>
      </c>
      <c r="M82" s="3">
        <f t="shared" si="35"/>
        <v>2.5662162162162159</v>
      </c>
      <c r="N82" s="15">
        <v>0.51572499999999999</v>
      </c>
      <c r="O82">
        <f t="shared" si="33"/>
        <v>0.25770107826880906</v>
      </c>
      <c r="P82">
        <v>1</v>
      </c>
      <c r="Q82">
        <f t="shared" si="36"/>
        <v>0.44313130000000001</v>
      </c>
      <c r="R82">
        <f t="shared" si="4"/>
        <v>3.1210526232714</v>
      </c>
      <c r="S82">
        <f t="shared" si="5"/>
        <v>3.3426473595236694</v>
      </c>
      <c r="T82">
        <f t="shared" si="6"/>
        <v>2.899457887019131</v>
      </c>
      <c r="U82">
        <f t="shared" si="7"/>
        <v>0.22159473625226944</v>
      </c>
      <c r="V82">
        <f t="shared" si="8"/>
        <v>0.221594736252269</v>
      </c>
      <c r="W82">
        <f t="shared" si="9"/>
        <v>0.22159473625226922</v>
      </c>
    </row>
    <row r="83" spans="1:23">
      <c r="A83" s="9"/>
      <c r="B83" s="4">
        <v>395.7</v>
      </c>
      <c r="C83" s="3">
        <v>0.53342009999999995</v>
      </c>
      <c r="D83" s="3">
        <v>7.0155440000000002</v>
      </c>
      <c r="E83" s="4">
        <f t="shared" si="34"/>
        <v>0.49810362399999997</v>
      </c>
      <c r="F83" s="4"/>
      <c r="G83" s="4"/>
      <c r="H83" s="4"/>
      <c r="I83" s="4"/>
      <c r="J83" s="4"/>
      <c r="K83" s="4">
        <v>3.7</v>
      </c>
      <c r="L83" s="3">
        <v>4.7474999999999996</v>
      </c>
      <c r="M83" s="3">
        <f t="shared" si="35"/>
        <v>2.5662162162162159</v>
      </c>
      <c r="N83" s="15">
        <v>0.51572499999999999</v>
      </c>
      <c r="O83">
        <f t="shared" si="33"/>
        <v>0.25770107826880906</v>
      </c>
      <c r="P83">
        <v>1</v>
      </c>
      <c r="Q83">
        <f t="shared" si="36"/>
        <v>0.53342009999999995</v>
      </c>
      <c r="R83">
        <f t="shared" si="4"/>
        <v>3.7422321820344</v>
      </c>
      <c r="S83">
        <f t="shared" si="5"/>
        <v>4.0079306669588419</v>
      </c>
      <c r="T83">
        <f t="shared" si="6"/>
        <v>3.4765336971099576</v>
      </c>
      <c r="U83">
        <f t="shared" si="7"/>
        <v>0.26569848492444192</v>
      </c>
      <c r="V83">
        <f t="shared" si="8"/>
        <v>0.26569848492444237</v>
      </c>
      <c r="W83">
        <f t="shared" si="9"/>
        <v>0.26569848492444215</v>
      </c>
    </row>
    <row r="84" spans="1:23">
      <c r="A84" s="9"/>
      <c r="B84" s="4">
        <v>395.7</v>
      </c>
      <c r="C84" s="3">
        <v>0.59742910000000005</v>
      </c>
      <c r="D84" s="3">
        <v>7.0155440000000002</v>
      </c>
      <c r="E84" s="4">
        <f t="shared" si="34"/>
        <v>0.49810362399999997</v>
      </c>
      <c r="F84" s="4"/>
      <c r="G84" s="4"/>
      <c r="H84" s="4"/>
      <c r="I84" s="4"/>
      <c r="J84" s="4"/>
      <c r="K84" s="4">
        <v>3.7</v>
      </c>
      <c r="L84" s="3">
        <v>4.7474999999999996</v>
      </c>
      <c r="M84" s="3">
        <f t="shared" si="35"/>
        <v>2.5662162162162159</v>
      </c>
      <c r="N84" s="15">
        <v>0.51572499999999999</v>
      </c>
      <c r="O84">
        <f t="shared" si="33"/>
        <v>0.25770107826880906</v>
      </c>
      <c r="P84">
        <v>1</v>
      </c>
      <c r="Q84">
        <f t="shared" si="36"/>
        <v>0.59742910000000005</v>
      </c>
      <c r="R84">
        <f t="shared" ref="R84:R147" si="37">C84*D84*P84</f>
        <v>4.1912901379304008</v>
      </c>
      <c r="S84">
        <f t="shared" ref="S84:S147" si="38">C84*(D84+E84)*P84</f>
        <v>4.4888717377234588</v>
      </c>
      <c r="T84">
        <f t="shared" ref="T84:T147" si="39">C84*(D84-E84)*P84</f>
        <v>3.8937085381373424</v>
      </c>
      <c r="U84">
        <f t="shared" ref="U84:U147" si="40">(S84-R84)</f>
        <v>0.29758159979305798</v>
      </c>
      <c r="V84">
        <f t="shared" ref="V84:V147" si="41">(R84-T84)</f>
        <v>0.29758159979305843</v>
      </c>
      <c r="W84">
        <f t="shared" ref="W84:W147" si="42">(U84+V84)/2</f>
        <v>0.2975815997930582</v>
      </c>
    </row>
    <row r="85" spans="1:23">
      <c r="A85" s="9"/>
      <c r="B85" s="4">
        <v>395.7</v>
      </c>
      <c r="C85" s="3">
        <v>0.69012249999999997</v>
      </c>
      <c r="D85" s="3">
        <v>6.8911914999999997</v>
      </c>
      <c r="E85" s="4">
        <f t="shared" si="34"/>
        <v>0.48927459649999994</v>
      </c>
      <c r="F85" s="4"/>
      <c r="G85" s="4"/>
      <c r="H85" s="4"/>
      <c r="I85" s="4"/>
      <c r="J85" s="4"/>
      <c r="K85" s="4">
        <v>3.7</v>
      </c>
      <c r="L85" s="3">
        <v>4.7474999999999996</v>
      </c>
      <c r="M85" s="3">
        <f t="shared" si="35"/>
        <v>2.5662162162162159</v>
      </c>
      <c r="N85" s="15">
        <v>0.51572499999999999</v>
      </c>
      <c r="O85">
        <f t="shared" si="33"/>
        <v>0.25770107826880906</v>
      </c>
      <c r="P85">
        <v>1</v>
      </c>
      <c r="Q85">
        <f t="shared" si="36"/>
        <v>0.69012249999999997</v>
      </c>
      <c r="R85">
        <f t="shared" si="37"/>
        <v>4.7557663059587494</v>
      </c>
      <c r="S85">
        <f t="shared" si="38"/>
        <v>5.0934257136818202</v>
      </c>
      <c r="T85">
        <f t="shared" si="39"/>
        <v>4.4181068982356786</v>
      </c>
      <c r="U85">
        <f t="shared" si="40"/>
        <v>0.33765940772307079</v>
      </c>
      <c r="V85">
        <f t="shared" si="41"/>
        <v>0.33765940772307079</v>
      </c>
      <c r="W85">
        <f t="shared" si="42"/>
        <v>0.33765940772307079</v>
      </c>
    </row>
    <row r="86" spans="1:23">
      <c r="A86" s="9"/>
      <c r="B86" s="4">
        <v>395.7</v>
      </c>
      <c r="C86" s="3">
        <v>0.76896405000000001</v>
      </c>
      <c r="D86" s="3">
        <v>6.8221072999999999</v>
      </c>
      <c r="E86" s="4">
        <f t="shared" si="34"/>
        <v>0.48436961829999997</v>
      </c>
      <c r="F86" s="4"/>
      <c r="G86" s="4"/>
      <c r="H86" s="4"/>
      <c r="I86" s="4"/>
      <c r="J86" s="4"/>
      <c r="K86" s="4">
        <v>3.7</v>
      </c>
      <c r="L86" s="3">
        <v>4.7474999999999996</v>
      </c>
      <c r="M86" s="3">
        <f t="shared" si="35"/>
        <v>2.5662162162162159</v>
      </c>
      <c r="N86" s="15">
        <v>0.51572499999999999</v>
      </c>
      <c r="O86">
        <f t="shared" si="33"/>
        <v>0.25770107826880906</v>
      </c>
      <c r="P86">
        <v>1</v>
      </c>
      <c r="Q86">
        <f t="shared" si="36"/>
        <v>0.76896405000000001</v>
      </c>
      <c r="R86">
        <f t="shared" si="37"/>
        <v>5.2459552589425646</v>
      </c>
      <c r="S86">
        <f t="shared" si="38"/>
        <v>5.6184180823274872</v>
      </c>
      <c r="T86">
        <f t="shared" si="39"/>
        <v>4.873492435557643</v>
      </c>
      <c r="U86">
        <f t="shared" si="40"/>
        <v>0.37246282338492254</v>
      </c>
      <c r="V86">
        <f t="shared" si="41"/>
        <v>0.37246282338492165</v>
      </c>
      <c r="W86">
        <f t="shared" si="42"/>
        <v>0.37246282338492209</v>
      </c>
    </row>
    <row r="87" spans="1:23">
      <c r="A87" s="9"/>
      <c r="B87" s="4">
        <v>395.7</v>
      </c>
      <c r="C87" s="3">
        <v>0.85241043999999999</v>
      </c>
      <c r="D87" s="3">
        <v>6.7530226999999998</v>
      </c>
      <c r="E87" s="4">
        <f t="shared" si="34"/>
        <v>0.47946461169999993</v>
      </c>
      <c r="F87" s="4"/>
      <c r="G87" s="4"/>
      <c r="H87" s="4"/>
      <c r="I87" s="4"/>
      <c r="J87" s="4"/>
      <c r="K87" s="4">
        <v>3.7</v>
      </c>
      <c r="L87" s="3">
        <v>4.7474999999999996</v>
      </c>
      <c r="M87" s="3">
        <f t="shared" si="35"/>
        <v>2.5662162162162159</v>
      </c>
      <c r="N87" s="15">
        <v>0.51572499999999999</v>
      </c>
      <c r="O87">
        <f t="shared" si="33"/>
        <v>0.25770107826880906</v>
      </c>
      <c r="P87">
        <v>1</v>
      </c>
      <c r="Q87">
        <f t="shared" si="36"/>
        <v>0.85241043999999999</v>
      </c>
      <c r="R87">
        <f t="shared" si="37"/>
        <v>5.7563470510369878</v>
      </c>
      <c r="S87">
        <f t="shared" si="38"/>
        <v>6.1650476916606136</v>
      </c>
      <c r="T87">
        <f t="shared" si="39"/>
        <v>5.3476464104133612</v>
      </c>
      <c r="U87">
        <f t="shared" si="40"/>
        <v>0.40870064062362577</v>
      </c>
      <c r="V87">
        <f t="shared" si="41"/>
        <v>0.40870064062362665</v>
      </c>
      <c r="W87">
        <f t="shared" si="42"/>
        <v>0.40870064062362621</v>
      </c>
    </row>
    <row r="88" spans="1:23">
      <c r="A88" s="9"/>
      <c r="B88" s="4">
        <v>395.7</v>
      </c>
      <c r="C88" s="3">
        <v>0.94491230000000004</v>
      </c>
      <c r="D88" s="3">
        <v>6.6977549999999999</v>
      </c>
      <c r="E88" s="4">
        <f t="shared" si="34"/>
        <v>0.47554060499999995</v>
      </c>
      <c r="F88" s="4"/>
      <c r="G88" s="4"/>
      <c r="H88" s="4"/>
      <c r="I88" s="4"/>
      <c r="J88" s="4"/>
      <c r="K88" s="4">
        <v>3.7</v>
      </c>
      <c r="L88" s="3">
        <v>4.7474999999999996</v>
      </c>
      <c r="M88" s="3">
        <f t="shared" si="35"/>
        <v>2.5662162162162159</v>
      </c>
      <c r="N88" s="15">
        <v>0.51572499999999999</v>
      </c>
      <c r="O88">
        <f t="shared" si="33"/>
        <v>0.25770107826880906</v>
      </c>
      <c r="P88">
        <v>1</v>
      </c>
      <c r="Q88">
        <f t="shared" si="36"/>
        <v>0.94491230000000004</v>
      </c>
      <c r="R88">
        <f t="shared" si="37"/>
        <v>6.3287910818865001</v>
      </c>
      <c r="S88">
        <f t="shared" si="38"/>
        <v>6.7781352487004414</v>
      </c>
      <c r="T88">
        <f t="shared" si="39"/>
        <v>5.8794469150725588</v>
      </c>
      <c r="U88">
        <f t="shared" si="40"/>
        <v>0.44934416681394129</v>
      </c>
      <c r="V88">
        <f t="shared" si="41"/>
        <v>0.44934416681394129</v>
      </c>
      <c r="W88">
        <f t="shared" si="42"/>
        <v>0.44934416681394129</v>
      </c>
    </row>
    <row r="89" spans="1:23">
      <c r="A89" s="9"/>
      <c r="B89" s="4">
        <v>395.7</v>
      </c>
      <c r="C89" s="3">
        <v>2.004534</v>
      </c>
      <c r="D89" s="3">
        <v>5.8963732999999996</v>
      </c>
      <c r="E89" s="4">
        <f t="shared" si="34"/>
        <v>0.41864250429999994</v>
      </c>
      <c r="F89" s="4"/>
      <c r="G89" s="4"/>
      <c r="H89" s="4"/>
      <c r="I89" s="4"/>
      <c r="J89" s="4"/>
      <c r="K89" s="4">
        <v>3.7</v>
      </c>
      <c r="L89" s="3">
        <v>4.7474999999999996</v>
      </c>
      <c r="M89" s="3">
        <f t="shared" si="35"/>
        <v>2.5662162162162159</v>
      </c>
      <c r="N89" s="15">
        <v>0.51572499999999999</v>
      </c>
      <c r="O89">
        <f t="shared" si="33"/>
        <v>0.25770107826880906</v>
      </c>
      <c r="P89">
        <v>1</v>
      </c>
      <c r="Q89">
        <f t="shared" si="36"/>
        <v>2.004534</v>
      </c>
      <c r="R89">
        <f t="shared" si="37"/>
        <v>11.8194807565422</v>
      </c>
      <c r="S89">
        <f t="shared" si="38"/>
        <v>12.658663890256696</v>
      </c>
      <c r="T89">
        <f t="shared" si="39"/>
        <v>10.980297622827702</v>
      </c>
      <c r="U89">
        <f t="shared" si="40"/>
        <v>0.83918313371449571</v>
      </c>
      <c r="V89">
        <f t="shared" si="41"/>
        <v>0.83918313371449749</v>
      </c>
      <c r="W89">
        <f t="shared" si="42"/>
        <v>0.8391831337144966</v>
      </c>
    </row>
    <row r="90" spans="1:23">
      <c r="A90" s="9"/>
      <c r="B90" s="4">
        <v>395.7</v>
      </c>
      <c r="C90" s="3">
        <v>3.2531512</v>
      </c>
      <c r="D90" s="3">
        <v>5.2607945999999997</v>
      </c>
      <c r="E90" s="4">
        <f t="shared" si="34"/>
        <v>0.37351641659999996</v>
      </c>
      <c r="F90" s="4"/>
      <c r="G90" s="4"/>
      <c r="H90" s="4"/>
      <c r="I90" s="4"/>
      <c r="J90" s="4"/>
      <c r="K90" s="4">
        <v>3.7</v>
      </c>
      <c r="L90" s="3">
        <v>4.7474999999999996</v>
      </c>
      <c r="M90" s="3">
        <f t="shared" si="35"/>
        <v>2.5662162162162159</v>
      </c>
      <c r="N90" s="15">
        <v>0.51572499999999999</v>
      </c>
      <c r="O90">
        <f t="shared" si="33"/>
        <v>0.25770107826880906</v>
      </c>
      <c r="P90">
        <v>1</v>
      </c>
      <c r="Q90">
        <f t="shared" si="36"/>
        <v>3.2531512</v>
      </c>
      <c r="R90">
        <f t="shared" si="37"/>
        <v>17.114160265943518</v>
      </c>
      <c r="S90">
        <f t="shared" si="38"/>
        <v>18.329265644825508</v>
      </c>
      <c r="T90">
        <f t="shared" si="39"/>
        <v>15.899054887061528</v>
      </c>
      <c r="U90">
        <f t="shared" si="40"/>
        <v>1.2151053788819901</v>
      </c>
      <c r="V90">
        <f t="shared" si="41"/>
        <v>1.2151053788819901</v>
      </c>
      <c r="W90">
        <f t="shared" si="42"/>
        <v>1.2151053788819901</v>
      </c>
    </row>
    <row r="91" spans="1:23">
      <c r="A91" s="9"/>
      <c r="B91" s="4">
        <v>395.7</v>
      </c>
      <c r="C91" s="3">
        <v>4.1229924999999996</v>
      </c>
      <c r="D91" s="3">
        <v>4.9844559999999998</v>
      </c>
      <c r="E91" s="4">
        <f t="shared" si="34"/>
        <v>0.35389637599999996</v>
      </c>
      <c r="F91" s="4"/>
      <c r="G91" s="4"/>
      <c r="H91" s="4"/>
      <c r="I91" s="4"/>
      <c r="J91" s="4"/>
      <c r="K91" s="4">
        <v>3.7</v>
      </c>
      <c r="L91" s="3">
        <v>4.7474999999999996</v>
      </c>
      <c r="M91" s="3">
        <f t="shared" si="35"/>
        <v>2.5662162162162159</v>
      </c>
      <c r="N91" s="15">
        <v>0.51572499999999999</v>
      </c>
      <c r="O91">
        <f t="shared" si="33"/>
        <v>0.25770107826880906</v>
      </c>
      <c r="P91">
        <v>1</v>
      </c>
      <c r="Q91">
        <f t="shared" si="36"/>
        <v>4.1229924999999996</v>
      </c>
      <c r="R91">
        <f t="shared" si="37"/>
        <v>20.550874704579996</v>
      </c>
      <c r="S91">
        <f t="shared" si="38"/>
        <v>22.009986808605177</v>
      </c>
      <c r="T91">
        <f t="shared" si="39"/>
        <v>19.091762600554819</v>
      </c>
      <c r="U91">
        <f t="shared" si="40"/>
        <v>1.4591121040251807</v>
      </c>
      <c r="V91">
        <f t="shared" si="41"/>
        <v>1.4591121040251771</v>
      </c>
      <c r="W91">
        <f t="shared" si="42"/>
        <v>1.4591121040251789</v>
      </c>
    </row>
    <row r="92" spans="1:23">
      <c r="A92" s="9"/>
      <c r="B92" s="4">
        <v>395.7</v>
      </c>
      <c r="C92" s="3">
        <v>4.9630590000000003</v>
      </c>
      <c r="D92" s="3">
        <v>4.749568</v>
      </c>
      <c r="E92" s="4">
        <f t="shared" si="34"/>
        <v>0.33721932799999998</v>
      </c>
      <c r="F92" s="4"/>
      <c r="G92" s="4"/>
      <c r="H92" s="4"/>
      <c r="I92" s="4"/>
      <c r="J92" s="4"/>
      <c r="K92" s="4">
        <v>3.7</v>
      </c>
      <c r="L92" s="3">
        <v>4.7474999999999996</v>
      </c>
      <c r="M92" s="3">
        <f t="shared" si="35"/>
        <v>2.5662162162162159</v>
      </c>
      <c r="N92" s="15">
        <v>0.51572499999999999</v>
      </c>
      <c r="O92">
        <f t="shared" si="33"/>
        <v>0.25770107826880906</v>
      </c>
      <c r="P92">
        <v>1</v>
      </c>
      <c r="Q92">
        <f t="shared" si="36"/>
        <v>4.9630590000000003</v>
      </c>
      <c r="R92">
        <f t="shared" si="37"/>
        <v>23.572386208512</v>
      </c>
      <c r="S92">
        <f t="shared" si="38"/>
        <v>25.246025629316353</v>
      </c>
      <c r="T92">
        <f t="shared" si="39"/>
        <v>21.898746787707651</v>
      </c>
      <c r="U92">
        <f t="shared" si="40"/>
        <v>1.6736394208043528</v>
      </c>
      <c r="V92">
        <f t="shared" si="41"/>
        <v>1.6736394208043492</v>
      </c>
      <c r="W92">
        <f t="shared" si="42"/>
        <v>1.673639420804351</v>
      </c>
    </row>
    <row r="93" spans="1:23">
      <c r="A93" s="9"/>
      <c r="B93" s="4">
        <v>395.7</v>
      </c>
      <c r="C93" s="3">
        <v>5.7924666</v>
      </c>
      <c r="D93" s="3">
        <v>4.5699480000000001</v>
      </c>
      <c r="E93" s="4">
        <f t="shared" si="34"/>
        <v>0.32446630799999998</v>
      </c>
      <c r="F93" s="4"/>
      <c r="G93" s="4"/>
      <c r="H93" s="4"/>
      <c r="I93" s="4"/>
      <c r="J93" s="4"/>
      <c r="K93" s="4">
        <v>3.7</v>
      </c>
      <c r="L93" s="3">
        <v>4.7474999999999996</v>
      </c>
      <c r="M93" s="3">
        <f t="shared" si="35"/>
        <v>2.5662162162162159</v>
      </c>
      <c r="N93" s="15">
        <v>0.51572499999999999</v>
      </c>
      <c r="O93">
        <f t="shared" si="33"/>
        <v>0.25770107826880906</v>
      </c>
      <c r="P93">
        <v>1</v>
      </c>
      <c r="Q93">
        <f t="shared" si="36"/>
        <v>5.7924666</v>
      </c>
      <c r="R93">
        <f t="shared" si="37"/>
        <v>26.471271153736801</v>
      </c>
      <c r="S93">
        <f t="shared" si="38"/>
        <v>28.350731405652112</v>
      </c>
      <c r="T93">
        <f t="shared" si="39"/>
        <v>24.591810901821489</v>
      </c>
      <c r="U93">
        <f t="shared" si="40"/>
        <v>1.8794602519153116</v>
      </c>
      <c r="V93">
        <f t="shared" si="41"/>
        <v>1.8794602519153116</v>
      </c>
      <c r="W93">
        <f t="shared" si="42"/>
        <v>1.8794602519153116</v>
      </c>
    </row>
    <row r="94" spans="1:23">
      <c r="A94" s="9"/>
      <c r="B94" s="4">
        <v>395.7</v>
      </c>
      <c r="C94" s="3">
        <v>6.6568107999999997</v>
      </c>
      <c r="D94" s="3">
        <v>4.4455957000000001</v>
      </c>
      <c r="E94" s="4">
        <f t="shared" si="34"/>
        <v>0.31563729469999996</v>
      </c>
      <c r="F94" s="4"/>
      <c r="G94" s="4"/>
      <c r="H94" s="4"/>
      <c r="I94" s="4"/>
      <c r="J94" s="4"/>
      <c r="K94" s="4">
        <v>3.7</v>
      </c>
      <c r="L94" s="3">
        <v>4.7474999999999996</v>
      </c>
      <c r="M94" s="3">
        <f t="shared" si="35"/>
        <v>2.5662162162162159</v>
      </c>
      <c r="N94" s="15">
        <v>0.51572499999999999</v>
      </c>
      <c r="O94">
        <f t="shared" si="33"/>
        <v>0.25770107826880906</v>
      </c>
      <c r="P94">
        <v>1</v>
      </c>
      <c r="Q94">
        <f t="shared" si="36"/>
        <v>6.6568107999999997</v>
      </c>
      <c r="R94">
        <f t="shared" si="37"/>
        <v>29.59348946819356</v>
      </c>
      <c r="S94">
        <f t="shared" si="38"/>
        <v>31.694627220435304</v>
      </c>
      <c r="T94">
        <f t="shared" si="39"/>
        <v>27.492351715951816</v>
      </c>
      <c r="U94">
        <f t="shared" si="40"/>
        <v>2.101137752241744</v>
      </c>
      <c r="V94">
        <f t="shared" si="41"/>
        <v>2.101137752241744</v>
      </c>
      <c r="W94">
        <f t="shared" si="42"/>
        <v>2.101137752241744</v>
      </c>
    </row>
    <row r="95" spans="1:23">
      <c r="A95" s="9"/>
      <c r="B95" s="4">
        <v>395.7</v>
      </c>
      <c r="C95" s="3">
        <v>7.4556107999999996</v>
      </c>
      <c r="D95" s="3">
        <v>4.3626943000000002</v>
      </c>
      <c r="E95" s="4">
        <f t="shared" si="34"/>
        <v>0.30975129530000001</v>
      </c>
      <c r="F95" s="4"/>
      <c r="G95" s="4"/>
      <c r="H95" s="4"/>
      <c r="I95" s="4"/>
      <c r="J95" s="4"/>
      <c r="K95" s="4">
        <v>3.7</v>
      </c>
      <c r="L95" s="3">
        <v>4.7474999999999996</v>
      </c>
      <c r="M95" s="3">
        <f t="shared" si="35"/>
        <v>2.5662162162162159</v>
      </c>
      <c r="N95" s="15">
        <v>0.51572499999999999</v>
      </c>
      <c r="O95">
        <f t="shared" si="33"/>
        <v>0.25770107826880906</v>
      </c>
      <c r="P95">
        <v>1</v>
      </c>
      <c r="Q95">
        <f t="shared" si="36"/>
        <v>7.4556107999999996</v>
      </c>
      <c r="R95">
        <f t="shared" si="37"/>
        <v>32.526550740178443</v>
      </c>
      <c r="S95">
        <f t="shared" si="38"/>
        <v>34.835935842731111</v>
      </c>
      <c r="T95">
        <f t="shared" si="39"/>
        <v>30.217165637625772</v>
      </c>
      <c r="U95">
        <f t="shared" si="40"/>
        <v>2.3093851025526675</v>
      </c>
      <c r="V95">
        <f t="shared" si="41"/>
        <v>2.309385102552671</v>
      </c>
      <c r="W95">
        <f t="shared" si="42"/>
        <v>2.3093851025526693</v>
      </c>
    </row>
    <row r="96" spans="1:23">
      <c r="A96" s="9"/>
      <c r="B96" s="4">
        <v>395.7</v>
      </c>
      <c r="C96" s="3">
        <v>8.4367370000000008</v>
      </c>
      <c r="D96" s="3">
        <v>4.2245249999999999</v>
      </c>
      <c r="E96" s="4">
        <f t="shared" si="34"/>
        <v>0.29994127499999995</v>
      </c>
      <c r="F96" s="4"/>
      <c r="G96" s="4"/>
      <c r="H96" s="4"/>
      <c r="I96" s="4"/>
      <c r="J96" s="4"/>
      <c r="K96" s="4">
        <v>3.7</v>
      </c>
      <c r="L96" s="3">
        <v>4.7474999999999996</v>
      </c>
      <c r="M96" s="3">
        <f t="shared" si="35"/>
        <v>2.5662162162162159</v>
      </c>
      <c r="N96" s="15">
        <v>0.51572499999999999</v>
      </c>
      <c r="O96">
        <f t="shared" si="33"/>
        <v>0.25770107826880906</v>
      </c>
      <c r="P96">
        <v>1</v>
      </c>
      <c r="Q96">
        <f t="shared" si="36"/>
        <v>8.4367370000000008</v>
      </c>
      <c r="R96">
        <f t="shared" si="37"/>
        <v>35.641206374925005</v>
      </c>
      <c r="S96">
        <f t="shared" si="38"/>
        <v>38.171732027544678</v>
      </c>
      <c r="T96">
        <f t="shared" si="39"/>
        <v>33.110680722305325</v>
      </c>
      <c r="U96">
        <f t="shared" si="40"/>
        <v>2.5305256526196729</v>
      </c>
      <c r="V96">
        <f t="shared" si="41"/>
        <v>2.53052565261968</v>
      </c>
      <c r="W96">
        <f t="shared" si="42"/>
        <v>2.5305256526196764</v>
      </c>
    </row>
    <row r="97" spans="1:293">
      <c r="A97" s="9"/>
      <c r="B97" s="4">
        <v>395.7</v>
      </c>
      <c r="C97" s="3">
        <v>9.7457285000000002</v>
      </c>
      <c r="D97" s="3">
        <v>4.1554403000000004</v>
      </c>
      <c r="E97" s="4">
        <f t="shared" si="34"/>
        <v>0.29503626129999999</v>
      </c>
      <c r="F97" s="4"/>
      <c r="G97" s="4" t="s">
        <v>45</v>
      </c>
      <c r="H97" s="4"/>
      <c r="I97" s="4"/>
      <c r="J97" s="4"/>
      <c r="K97" s="4">
        <v>3.7</v>
      </c>
      <c r="L97" s="3">
        <v>4.7474999999999996</v>
      </c>
      <c r="M97" s="3">
        <f t="shared" si="35"/>
        <v>2.5662162162162159</v>
      </c>
      <c r="N97" s="15">
        <v>0.51572499999999999</v>
      </c>
      <c r="O97">
        <f t="shared" si="33"/>
        <v>0.25770107826880906</v>
      </c>
      <c r="P97">
        <v>1</v>
      </c>
      <c r="Q97">
        <f t="shared" si="36"/>
        <v>9.7457285000000002</v>
      </c>
      <c r="R97">
        <f t="shared" si="37"/>
        <v>40.497792961758556</v>
      </c>
      <c r="S97">
        <f t="shared" si="38"/>
        <v>43.37313626204341</v>
      </c>
      <c r="T97">
        <f t="shared" si="39"/>
        <v>37.622449661473702</v>
      </c>
      <c r="U97">
        <f t="shared" si="40"/>
        <v>2.8753433002848539</v>
      </c>
      <c r="V97">
        <f t="shared" si="41"/>
        <v>2.8753433002848539</v>
      </c>
      <c r="W97">
        <f t="shared" si="42"/>
        <v>2.8753433002848539</v>
      </c>
    </row>
    <row r="98" spans="1:293">
      <c r="A98" s="9"/>
      <c r="B98" s="4">
        <v>395.7</v>
      </c>
      <c r="C98" s="3">
        <v>19.636536</v>
      </c>
      <c r="D98" s="3">
        <v>3.6580309999999998</v>
      </c>
      <c r="E98" s="4">
        <f t="shared" si="34"/>
        <v>0.25972020099999998</v>
      </c>
      <c r="F98" s="4"/>
      <c r="G98" s="4" t="s">
        <v>44</v>
      </c>
      <c r="H98" s="4"/>
      <c r="I98" s="4"/>
      <c r="J98" s="4"/>
      <c r="K98" s="4">
        <v>3.7</v>
      </c>
      <c r="L98" s="3">
        <v>4.7474999999999996</v>
      </c>
      <c r="M98" s="3">
        <f t="shared" si="35"/>
        <v>2.5662162162162159</v>
      </c>
      <c r="N98" s="15">
        <v>0.51572499999999999</v>
      </c>
      <c r="O98">
        <f t="shared" si="33"/>
        <v>0.25770107826880906</v>
      </c>
      <c r="P98">
        <v>1</v>
      </c>
      <c r="Q98">
        <f t="shared" si="36"/>
        <v>19.636536</v>
      </c>
      <c r="R98">
        <f t="shared" si="37"/>
        <v>71.831057420615991</v>
      </c>
      <c r="S98">
        <f t="shared" si="38"/>
        <v>76.931062497479729</v>
      </c>
      <c r="T98">
        <f t="shared" si="39"/>
        <v>66.731052343752253</v>
      </c>
      <c r="U98">
        <f t="shared" si="40"/>
        <v>5.1000050768637379</v>
      </c>
      <c r="V98">
        <f t="shared" si="41"/>
        <v>5.1000050768637379</v>
      </c>
      <c r="W98">
        <f t="shared" si="42"/>
        <v>5.1000050768637379</v>
      </c>
    </row>
    <row r="99" spans="1:293">
      <c r="A99" s="9"/>
      <c r="B99" s="4">
        <v>395.7</v>
      </c>
      <c r="C99" s="3">
        <v>29.196069999999999</v>
      </c>
      <c r="D99" s="3">
        <v>3.3402419999999999</v>
      </c>
      <c r="E99" s="4">
        <f t="shared" si="34"/>
        <v>0.23715718199999997</v>
      </c>
      <c r="F99" s="4"/>
      <c r="G99" s="4" t="s">
        <v>46</v>
      </c>
      <c r="H99" s="4"/>
      <c r="I99" s="4"/>
      <c r="J99" s="4"/>
      <c r="K99" s="4">
        <v>3.7</v>
      </c>
      <c r="L99" s="3">
        <v>4.7474999999999996</v>
      </c>
      <c r="M99" s="3">
        <f t="shared" si="35"/>
        <v>2.5662162162162159</v>
      </c>
      <c r="N99" s="15">
        <v>0.51572499999999999</v>
      </c>
      <c r="O99">
        <f t="shared" si="33"/>
        <v>0.25770107826880906</v>
      </c>
      <c r="P99">
        <v>1</v>
      </c>
      <c r="Q99">
        <f t="shared" si="36"/>
        <v>29.196069999999999</v>
      </c>
      <c r="R99">
        <f t="shared" si="37"/>
        <v>97.521939248940001</v>
      </c>
      <c r="S99">
        <f t="shared" si="38"/>
        <v>104.44599693561473</v>
      </c>
      <c r="T99">
        <f t="shared" si="39"/>
        <v>90.597881562265258</v>
      </c>
      <c r="U99">
        <f t="shared" si="40"/>
        <v>6.924057686674729</v>
      </c>
      <c r="V99">
        <f t="shared" si="41"/>
        <v>6.9240576866747432</v>
      </c>
      <c r="W99">
        <f t="shared" si="42"/>
        <v>6.9240576866747361</v>
      </c>
    </row>
    <row r="100" spans="1:293">
      <c r="A100" s="9"/>
      <c r="B100" s="4">
        <v>395.7</v>
      </c>
      <c r="C100" s="3">
        <v>38.958660000000002</v>
      </c>
      <c r="D100" s="3">
        <v>3.0639033000000002</v>
      </c>
      <c r="E100" s="4">
        <f t="shared" si="34"/>
        <v>0.21753713429999999</v>
      </c>
      <c r="F100" s="4"/>
      <c r="G100" s="4"/>
      <c r="H100" s="4"/>
      <c r="I100" s="4"/>
      <c r="J100" s="4"/>
      <c r="K100" s="4">
        <v>3.7</v>
      </c>
      <c r="L100" s="3">
        <v>4.7474999999999996</v>
      </c>
      <c r="M100" s="3">
        <f t="shared" si="35"/>
        <v>2.5662162162162159</v>
      </c>
      <c r="N100" s="15">
        <v>0.51572499999999999</v>
      </c>
      <c r="O100">
        <f t="shared" si="33"/>
        <v>0.25770107826880906</v>
      </c>
      <c r="P100">
        <v>1</v>
      </c>
      <c r="Q100">
        <f t="shared" si="36"/>
        <v>38.958660000000002</v>
      </c>
      <c r="R100">
        <f t="shared" si="37"/>
        <v>119.36556693757801</v>
      </c>
      <c r="S100">
        <f t="shared" si="38"/>
        <v>127.84052219014606</v>
      </c>
      <c r="T100">
        <f t="shared" si="39"/>
        <v>110.89061168500997</v>
      </c>
      <c r="U100">
        <f t="shared" si="40"/>
        <v>8.4749552525680514</v>
      </c>
      <c r="V100">
        <f t="shared" si="41"/>
        <v>8.4749552525680372</v>
      </c>
      <c r="W100">
        <f t="shared" si="42"/>
        <v>8.4749552525680443</v>
      </c>
    </row>
    <row r="101" spans="1:293">
      <c r="A101" s="9"/>
      <c r="B101" s="4">
        <v>395.7</v>
      </c>
      <c r="C101" s="3">
        <v>48.618426999999997</v>
      </c>
      <c r="D101" s="3">
        <v>2.8428325999999999</v>
      </c>
      <c r="E101" s="4">
        <f t="shared" si="34"/>
        <v>0.20184111459999998</v>
      </c>
      <c r="F101" s="4"/>
      <c r="G101" s="4"/>
      <c r="H101" s="4"/>
      <c r="I101" s="4"/>
      <c r="J101" s="4"/>
      <c r="K101" s="4">
        <v>3.7</v>
      </c>
      <c r="L101" s="3">
        <v>4.7474999999999996</v>
      </c>
      <c r="M101" s="3">
        <f t="shared" si="35"/>
        <v>2.5662162162162159</v>
      </c>
      <c r="N101" s="15">
        <v>0.51572499999999999</v>
      </c>
      <c r="O101">
        <f t="shared" si="33"/>
        <v>0.25770107826880906</v>
      </c>
      <c r="P101">
        <v>1</v>
      </c>
      <c r="Q101">
        <f t="shared" si="36"/>
        <v>48.618426999999997</v>
      </c>
      <c r="R101">
        <f t="shared" si="37"/>
        <v>138.21404923632019</v>
      </c>
      <c r="S101">
        <f t="shared" si="38"/>
        <v>148.02724673209892</v>
      </c>
      <c r="T101">
        <f t="shared" si="39"/>
        <v>128.40085174054144</v>
      </c>
      <c r="U101">
        <f t="shared" si="40"/>
        <v>9.8131974957787236</v>
      </c>
      <c r="V101">
        <f t="shared" si="41"/>
        <v>9.813197495778752</v>
      </c>
      <c r="W101">
        <f t="shared" si="42"/>
        <v>9.8131974957787378</v>
      </c>
    </row>
    <row r="102" spans="1:293">
      <c r="A102" s="9"/>
      <c r="B102" s="4">
        <v>395.7</v>
      </c>
      <c r="C102" s="3">
        <v>59.435949999999998</v>
      </c>
      <c r="D102" s="3">
        <v>2.6217616000000001</v>
      </c>
      <c r="E102" s="4">
        <f t="shared" si="34"/>
        <v>0.18614507359999999</v>
      </c>
      <c r="F102" s="4"/>
      <c r="G102" s="4"/>
      <c r="H102" s="4"/>
      <c r="I102" s="4"/>
      <c r="J102" s="4"/>
      <c r="K102" s="4">
        <v>3.7</v>
      </c>
      <c r="L102" s="3">
        <v>4.7474999999999996</v>
      </c>
      <c r="M102" s="3">
        <f t="shared" si="35"/>
        <v>2.5662162162162159</v>
      </c>
      <c r="N102" s="15">
        <v>0.51572499999999999</v>
      </c>
      <c r="O102">
        <f t="shared" si="33"/>
        <v>0.25770107826880906</v>
      </c>
      <c r="P102">
        <v>1</v>
      </c>
      <c r="Q102">
        <f t="shared" si="36"/>
        <v>59.435949999999998</v>
      </c>
      <c r="R102">
        <f t="shared" si="37"/>
        <v>155.82689136952001</v>
      </c>
      <c r="S102">
        <f t="shared" si="38"/>
        <v>166.89060065675594</v>
      </c>
      <c r="T102">
        <f t="shared" si="39"/>
        <v>144.76318208228409</v>
      </c>
      <c r="U102">
        <f t="shared" si="40"/>
        <v>11.063709287235923</v>
      </c>
      <c r="V102">
        <f t="shared" si="41"/>
        <v>11.063709287235923</v>
      </c>
      <c r="W102">
        <f t="shared" si="42"/>
        <v>11.063709287235923</v>
      </c>
    </row>
    <row r="103" spans="1:293">
      <c r="A103" s="9"/>
      <c r="B103" s="4">
        <v>395.7</v>
      </c>
      <c r="C103" s="3">
        <v>69.368660000000006</v>
      </c>
      <c r="D103" s="3">
        <v>2.4697754000000001</v>
      </c>
      <c r="E103" s="4">
        <f t="shared" si="34"/>
        <v>0.17535405339999999</v>
      </c>
      <c r="F103" s="4"/>
      <c r="G103" s="4"/>
      <c r="H103" s="4"/>
      <c r="I103" s="4"/>
      <c r="J103" s="4"/>
      <c r="K103" s="4">
        <v>3.7</v>
      </c>
      <c r="L103" s="3">
        <v>4.7474999999999996</v>
      </c>
      <c r="M103" s="3">
        <f t="shared" si="35"/>
        <v>2.5662162162162159</v>
      </c>
      <c r="N103" s="15">
        <v>0.51572499999999999</v>
      </c>
      <c r="O103">
        <f t="shared" si="33"/>
        <v>0.25770107826880906</v>
      </c>
      <c r="P103">
        <v>1</v>
      </c>
      <c r="Q103">
        <f t="shared" si="36"/>
        <v>69.368660000000006</v>
      </c>
      <c r="R103">
        <f t="shared" si="37"/>
        <v>171.32500999896402</v>
      </c>
      <c r="S103">
        <f t="shared" si="38"/>
        <v>183.48908570889046</v>
      </c>
      <c r="T103">
        <f t="shared" si="39"/>
        <v>159.16093428903758</v>
      </c>
      <c r="U103">
        <f t="shared" si="40"/>
        <v>12.164075709926436</v>
      </c>
      <c r="V103">
        <f t="shared" si="41"/>
        <v>12.164075709926436</v>
      </c>
      <c r="W103">
        <f t="shared" si="42"/>
        <v>12.164075709926436</v>
      </c>
    </row>
    <row r="104" spans="1:293">
      <c r="A104" s="9"/>
      <c r="B104" s="4">
        <v>395.7</v>
      </c>
      <c r="C104" s="3">
        <v>79.310164999999998</v>
      </c>
      <c r="D104" s="3">
        <v>2.3316061000000001</v>
      </c>
      <c r="E104" s="4">
        <f t="shared" si="34"/>
        <v>0.16554403309999999</v>
      </c>
      <c r="F104" s="4"/>
      <c r="G104" s="4"/>
      <c r="H104" s="4"/>
      <c r="I104" s="4"/>
      <c r="J104" s="4"/>
      <c r="K104" s="4">
        <v>3.7</v>
      </c>
      <c r="L104" s="3">
        <v>4.7474999999999996</v>
      </c>
      <c r="M104" s="3">
        <f t="shared" si="35"/>
        <v>2.5662162162162159</v>
      </c>
      <c r="N104" s="15">
        <v>0.51572499999999999</v>
      </c>
      <c r="O104">
        <f t="shared" si="33"/>
        <v>0.25770107826880906</v>
      </c>
      <c r="P104">
        <v>1</v>
      </c>
      <c r="Q104">
        <f t="shared" si="36"/>
        <v>79.310164999999998</v>
      </c>
      <c r="R104">
        <f t="shared" si="37"/>
        <v>184.9200645060065</v>
      </c>
      <c r="S104">
        <f t="shared" si="38"/>
        <v>198.04938908593294</v>
      </c>
      <c r="T104">
        <f t="shared" si="39"/>
        <v>171.79073992608005</v>
      </c>
      <c r="U104">
        <f t="shared" si="40"/>
        <v>13.129324579926447</v>
      </c>
      <c r="V104">
        <f t="shared" si="41"/>
        <v>13.129324579926447</v>
      </c>
      <c r="W104">
        <f t="shared" si="42"/>
        <v>13.129324579926447</v>
      </c>
    </row>
    <row r="105" spans="1:293">
      <c r="A105" s="9"/>
      <c r="B105" s="4">
        <v>395.7</v>
      </c>
      <c r="C105" s="3">
        <v>88.827179999999998</v>
      </c>
      <c r="D105" s="3">
        <v>2.2072539999999998</v>
      </c>
      <c r="E105" s="4">
        <f t="shared" si="34"/>
        <v>0.15671503399999998</v>
      </c>
      <c r="F105" s="4"/>
      <c r="G105" s="4"/>
      <c r="H105" s="4"/>
      <c r="I105" s="4"/>
      <c r="J105" s="4"/>
      <c r="K105" s="4">
        <v>3.7</v>
      </c>
      <c r="L105" s="3">
        <v>4.7474999999999996</v>
      </c>
      <c r="M105" s="3">
        <f t="shared" si="35"/>
        <v>2.5662162162162159</v>
      </c>
      <c r="N105" s="15">
        <v>0.51572499999999999</v>
      </c>
      <c r="O105">
        <f t="shared" si="33"/>
        <v>0.25770107826880906</v>
      </c>
      <c r="P105">
        <v>1</v>
      </c>
      <c r="Q105">
        <f t="shared" si="36"/>
        <v>88.827179999999998</v>
      </c>
      <c r="R105">
        <f t="shared" si="37"/>
        <v>196.06414836371999</v>
      </c>
      <c r="S105">
        <f t="shared" si="38"/>
        <v>209.98470289754408</v>
      </c>
      <c r="T105">
        <f t="shared" si="39"/>
        <v>182.14359382989588</v>
      </c>
      <c r="U105">
        <f t="shared" si="40"/>
        <v>13.920554533824088</v>
      </c>
      <c r="V105">
        <f t="shared" si="41"/>
        <v>13.920554533824117</v>
      </c>
      <c r="W105">
        <f t="shared" si="42"/>
        <v>13.920554533824102</v>
      </c>
    </row>
    <row r="106" spans="1:293">
      <c r="A106" s="9"/>
      <c r="B106" s="4">
        <v>395.7</v>
      </c>
      <c r="C106" s="3">
        <v>92.564179999999993</v>
      </c>
      <c r="D106" s="3">
        <v>2.1658032</v>
      </c>
      <c r="E106" s="4">
        <f t="shared" si="34"/>
        <v>0.15377202719999999</v>
      </c>
      <c r="F106" s="4"/>
      <c r="G106" s="4"/>
      <c r="H106" s="4"/>
      <c r="I106" s="4"/>
      <c r="J106" s="4"/>
      <c r="K106" s="4">
        <v>3.7</v>
      </c>
      <c r="L106" s="3">
        <v>4.7474999999999996</v>
      </c>
      <c r="M106" s="3">
        <f t="shared" si="35"/>
        <v>2.5662162162162159</v>
      </c>
      <c r="N106" s="15">
        <v>0.51572499999999999</v>
      </c>
      <c r="O106">
        <f t="shared" si="33"/>
        <v>0.25770107826880906</v>
      </c>
      <c r="P106">
        <v>1</v>
      </c>
      <c r="Q106">
        <f t="shared" si="36"/>
        <v>92.564179999999993</v>
      </c>
      <c r="R106">
        <f t="shared" si="37"/>
        <v>200.475797249376</v>
      </c>
      <c r="S106">
        <f t="shared" si="38"/>
        <v>214.70957885408168</v>
      </c>
      <c r="T106">
        <f t="shared" si="39"/>
        <v>186.24201564467029</v>
      </c>
      <c r="U106">
        <f t="shared" si="40"/>
        <v>14.233781604705683</v>
      </c>
      <c r="V106">
        <f t="shared" si="41"/>
        <v>14.233781604705712</v>
      </c>
      <c r="W106">
        <f t="shared" si="42"/>
        <v>14.233781604705698</v>
      </c>
    </row>
    <row r="107" spans="1:293" s="20" customFormat="1">
      <c r="A107" s="18" t="s">
        <v>19</v>
      </c>
      <c r="B107" s="19">
        <v>490</v>
      </c>
      <c r="C107" s="19">
        <v>4.95</v>
      </c>
      <c r="D107" s="19">
        <v>6.4</v>
      </c>
      <c r="E107" s="19">
        <v>0.3</v>
      </c>
      <c r="F107" s="19"/>
      <c r="G107" s="19"/>
      <c r="H107" s="19">
        <v>0.83</v>
      </c>
      <c r="I107" s="19">
        <v>0.83</v>
      </c>
      <c r="J107" s="19">
        <v>0.83</v>
      </c>
      <c r="K107" s="19">
        <v>0</v>
      </c>
      <c r="L107" s="19">
        <v>10</v>
      </c>
      <c r="M107" s="19">
        <f t="shared" ref="M107:M112" si="43">L107/1.85</f>
        <v>5.4054054054054053</v>
      </c>
      <c r="N107" s="24">
        <v>0.90300000000000002</v>
      </c>
      <c r="O107" s="20">
        <f t="shared" si="33"/>
        <v>0.90317746530314091</v>
      </c>
      <c r="P107" s="20">
        <f t="shared" ref="P107:P125" si="44">N107/O107</f>
        <v>0.99980351004098478</v>
      </c>
      <c r="Q107" s="20">
        <f t="shared" si="36"/>
        <v>4.95</v>
      </c>
      <c r="R107" s="20">
        <f t="shared" si="37"/>
        <v>31.673775198098401</v>
      </c>
      <c r="S107" s="20">
        <f t="shared" si="38"/>
        <v>33.158483410509263</v>
      </c>
      <c r="T107" s="20">
        <f t="shared" si="39"/>
        <v>30.189066985687539</v>
      </c>
      <c r="U107">
        <f t="shared" si="40"/>
        <v>1.4847082124108617</v>
      </c>
      <c r="V107">
        <f t="shared" si="41"/>
        <v>1.4847082124108617</v>
      </c>
      <c r="W107">
        <f t="shared" si="42"/>
        <v>1.4847082124108617</v>
      </c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  <c r="IW107" s="33"/>
      <c r="IX107" s="33"/>
      <c r="IY107" s="33"/>
      <c r="IZ107" s="33"/>
      <c r="JA107" s="33"/>
      <c r="JB107" s="33"/>
      <c r="JC107" s="33"/>
      <c r="JD107" s="33"/>
      <c r="JE107" s="33"/>
      <c r="JF107" s="33"/>
      <c r="JG107" s="33"/>
      <c r="JH107" s="33"/>
      <c r="JI107" s="33"/>
      <c r="JJ107" s="33"/>
      <c r="JK107" s="33"/>
      <c r="JL107" s="33"/>
      <c r="JM107" s="33"/>
      <c r="JN107" s="33"/>
      <c r="JO107" s="33"/>
      <c r="JP107" s="33"/>
      <c r="JQ107" s="33"/>
      <c r="JR107" s="33"/>
      <c r="JS107" s="33"/>
      <c r="JT107" s="33"/>
      <c r="JU107" s="33"/>
      <c r="JV107" s="33"/>
      <c r="JW107" s="33"/>
      <c r="JX107" s="33"/>
      <c r="JY107" s="33"/>
      <c r="JZ107" s="33"/>
      <c r="KA107" s="33"/>
      <c r="KB107" s="33"/>
      <c r="KC107" s="33"/>
      <c r="KD107" s="33"/>
      <c r="KE107" s="33"/>
      <c r="KF107" s="33"/>
      <c r="KG107" s="33"/>
    </row>
    <row r="108" spans="1:293" s="20" customFormat="1">
      <c r="A108" s="65" t="s">
        <v>79</v>
      </c>
      <c r="B108" s="19">
        <v>490</v>
      </c>
      <c r="C108" s="19">
        <v>6.6</v>
      </c>
      <c r="D108" s="19">
        <v>6</v>
      </c>
      <c r="E108" s="19">
        <v>0.1</v>
      </c>
      <c r="F108" s="19"/>
      <c r="G108" s="19"/>
      <c r="H108" s="19">
        <v>1.52</v>
      </c>
      <c r="I108" s="19">
        <v>1.52</v>
      </c>
      <c r="J108" s="19">
        <v>1.52</v>
      </c>
      <c r="K108" s="19">
        <v>0</v>
      </c>
      <c r="L108" s="19">
        <v>10</v>
      </c>
      <c r="M108" s="19">
        <f t="shared" si="43"/>
        <v>5.4054054054054053</v>
      </c>
      <c r="N108" s="24">
        <v>0.90300000000000002</v>
      </c>
      <c r="O108" s="20">
        <f t="shared" si="33"/>
        <v>0.90317746530314091</v>
      </c>
      <c r="P108" s="20">
        <f t="shared" si="44"/>
        <v>0.99980351004098478</v>
      </c>
      <c r="Q108" s="20">
        <f t="shared" si="36"/>
        <v>6.6</v>
      </c>
      <c r="R108" s="20">
        <f t="shared" si="37"/>
        <v>39.592218997622993</v>
      </c>
      <c r="S108" s="20">
        <f t="shared" si="38"/>
        <v>40.252089314250043</v>
      </c>
      <c r="T108" s="20">
        <f t="shared" si="39"/>
        <v>38.932348680995943</v>
      </c>
      <c r="U108">
        <f t="shared" si="40"/>
        <v>0.65987031662704965</v>
      </c>
      <c r="V108">
        <f t="shared" si="41"/>
        <v>0.65987031662704965</v>
      </c>
      <c r="W108">
        <f t="shared" si="42"/>
        <v>0.65987031662704965</v>
      </c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  <c r="IW108" s="33"/>
      <c r="IX108" s="33"/>
      <c r="IY108" s="33"/>
      <c r="IZ108" s="33"/>
      <c r="JA108" s="33"/>
      <c r="JB108" s="33"/>
      <c r="JC108" s="33"/>
      <c r="JD108" s="33"/>
      <c r="JE108" s="33"/>
      <c r="JF108" s="33"/>
      <c r="JG108" s="33"/>
      <c r="JH108" s="33"/>
      <c r="JI108" s="33"/>
      <c r="JJ108" s="33"/>
      <c r="JK108" s="33"/>
      <c r="JL108" s="33"/>
      <c r="JM108" s="33"/>
      <c r="JN108" s="33"/>
      <c r="JO108" s="33"/>
      <c r="JP108" s="33"/>
      <c r="JQ108" s="33"/>
      <c r="JR108" s="33"/>
      <c r="JS108" s="33"/>
      <c r="JT108" s="33"/>
      <c r="JU108" s="33"/>
      <c r="JV108" s="33"/>
      <c r="JW108" s="33"/>
      <c r="JX108" s="33"/>
      <c r="JY108" s="33"/>
      <c r="JZ108" s="33"/>
      <c r="KA108" s="33"/>
      <c r="KB108" s="33"/>
      <c r="KC108" s="33"/>
      <c r="KD108" s="33"/>
      <c r="KE108" s="33"/>
      <c r="KF108" s="33"/>
      <c r="KG108" s="33"/>
    </row>
    <row r="109" spans="1:293" s="20" customFormat="1">
      <c r="A109" s="18"/>
      <c r="B109" s="19">
        <v>490</v>
      </c>
      <c r="C109" s="19">
        <v>10.62</v>
      </c>
      <c r="D109" s="19">
        <v>5.7</v>
      </c>
      <c r="E109" s="19">
        <v>0.1</v>
      </c>
      <c r="F109" s="19"/>
      <c r="G109" s="19"/>
      <c r="H109" s="19">
        <v>1.54</v>
      </c>
      <c r="I109" s="19">
        <v>1.54</v>
      </c>
      <c r="J109" s="19">
        <v>1.54</v>
      </c>
      <c r="K109" s="19">
        <v>0</v>
      </c>
      <c r="L109" s="19">
        <v>10</v>
      </c>
      <c r="M109" s="19">
        <f t="shared" si="43"/>
        <v>5.4054054054054053</v>
      </c>
      <c r="N109" s="24">
        <v>0.90300000000000002</v>
      </c>
      <c r="O109" s="20">
        <f t="shared" si="33"/>
        <v>0.90317746530314091</v>
      </c>
      <c r="P109" s="20">
        <f t="shared" si="44"/>
        <v>0.99980351004098478</v>
      </c>
      <c r="Q109" s="20">
        <f t="shared" si="36"/>
        <v>10.62</v>
      </c>
      <c r="R109" s="20">
        <f t="shared" si="37"/>
        <v>60.522105676820971</v>
      </c>
      <c r="S109" s="20">
        <f t="shared" si="38"/>
        <v>61.583897004484498</v>
      </c>
      <c r="T109" s="20">
        <f t="shared" si="39"/>
        <v>59.46031434915745</v>
      </c>
      <c r="U109">
        <f t="shared" si="40"/>
        <v>1.0617913276635278</v>
      </c>
      <c r="V109">
        <f t="shared" si="41"/>
        <v>1.0617913276635207</v>
      </c>
      <c r="W109">
        <f t="shared" si="42"/>
        <v>1.0617913276635242</v>
      </c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  <c r="IW109" s="33"/>
      <c r="IX109" s="33"/>
      <c r="IY109" s="33"/>
      <c r="IZ109" s="33"/>
      <c r="JA109" s="33"/>
      <c r="JB109" s="33"/>
      <c r="JC109" s="33"/>
      <c r="JD109" s="33"/>
      <c r="JE109" s="33"/>
      <c r="JF109" s="33"/>
      <c r="JG109" s="33"/>
      <c r="JH109" s="33"/>
      <c r="JI109" s="33"/>
      <c r="JJ109" s="33"/>
      <c r="JK109" s="33"/>
      <c r="JL109" s="33"/>
      <c r="JM109" s="33"/>
      <c r="JN109" s="33"/>
      <c r="JO109" s="33"/>
      <c r="JP109" s="33"/>
      <c r="JQ109" s="33"/>
      <c r="JR109" s="33"/>
      <c r="JS109" s="33"/>
      <c r="JT109" s="33"/>
      <c r="JU109" s="33"/>
      <c r="JV109" s="33"/>
      <c r="JW109" s="33"/>
      <c r="JX109" s="33"/>
      <c r="JY109" s="33"/>
      <c r="JZ109" s="33"/>
      <c r="KA109" s="33"/>
      <c r="KB109" s="33"/>
      <c r="KC109" s="33"/>
      <c r="KD109" s="33"/>
      <c r="KE109" s="33"/>
      <c r="KF109" s="33"/>
      <c r="KG109" s="33"/>
    </row>
    <row r="110" spans="1:293" s="20" customFormat="1">
      <c r="A110" s="18"/>
      <c r="B110" s="19">
        <v>490</v>
      </c>
      <c r="C110" s="19">
        <v>13.95</v>
      </c>
      <c r="D110" s="19">
        <v>6</v>
      </c>
      <c r="E110" s="19">
        <v>0.1</v>
      </c>
      <c r="F110" s="19"/>
      <c r="G110" s="19"/>
      <c r="H110" s="19">
        <v>2.46</v>
      </c>
      <c r="I110" s="19">
        <v>2.46</v>
      </c>
      <c r="J110" s="19">
        <v>2.46</v>
      </c>
      <c r="K110" s="19">
        <v>0</v>
      </c>
      <c r="L110" s="19">
        <v>10</v>
      </c>
      <c r="M110" s="19">
        <f t="shared" si="43"/>
        <v>5.4054054054054053</v>
      </c>
      <c r="N110" s="24">
        <v>0.90300000000000002</v>
      </c>
      <c r="O110" s="20">
        <f t="shared" si="33"/>
        <v>0.90317746530314091</v>
      </c>
      <c r="P110" s="20">
        <f t="shared" si="44"/>
        <v>0.99980351004098478</v>
      </c>
      <c r="Q110" s="20">
        <f t="shared" si="36"/>
        <v>13.95</v>
      </c>
      <c r="R110" s="20">
        <f t="shared" si="37"/>
        <v>83.683553790430409</v>
      </c>
      <c r="S110" s="20">
        <f t="shared" si="38"/>
        <v>85.078279686937577</v>
      </c>
      <c r="T110" s="20">
        <f t="shared" si="39"/>
        <v>82.288827893923255</v>
      </c>
      <c r="U110">
        <f t="shared" si="40"/>
        <v>1.3947258965071683</v>
      </c>
      <c r="V110">
        <f t="shared" si="41"/>
        <v>1.3947258965071541</v>
      </c>
      <c r="W110">
        <f t="shared" si="42"/>
        <v>1.3947258965071612</v>
      </c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  <c r="IW110" s="33"/>
      <c r="IX110" s="33"/>
      <c r="IY110" s="33"/>
      <c r="IZ110" s="33"/>
      <c r="JA110" s="33"/>
      <c r="JB110" s="33"/>
      <c r="JC110" s="33"/>
      <c r="JD110" s="33"/>
      <c r="JE110" s="33"/>
      <c r="JF110" s="33"/>
      <c r="JG110" s="33"/>
      <c r="JH110" s="33"/>
      <c r="JI110" s="33"/>
      <c r="JJ110" s="33"/>
      <c r="JK110" s="33"/>
      <c r="JL110" s="33"/>
      <c r="JM110" s="33"/>
      <c r="JN110" s="33"/>
      <c r="JO110" s="33"/>
      <c r="JP110" s="33"/>
      <c r="JQ110" s="33"/>
      <c r="JR110" s="33"/>
      <c r="JS110" s="33"/>
      <c r="JT110" s="33"/>
      <c r="JU110" s="33"/>
      <c r="JV110" s="33"/>
      <c r="JW110" s="33"/>
      <c r="JX110" s="33"/>
      <c r="JY110" s="33"/>
      <c r="JZ110" s="33"/>
      <c r="KA110" s="33"/>
      <c r="KB110" s="33"/>
      <c r="KC110" s="33"/>
      <c r="KD110" s="33"/>
      <c r="KE110" s="33"/>
      <c r="KF110" s="33"/>
      <c r="KG110" s="33"/>
    </row>
    <row r="111" spans="1:293">
      <c r="A111" s="1" t="s">
        <v>25</v>
      </c>
      <c r="B111" s="4">
        <v>522</v>
      </c>
      <c r="C111" s="7">
        <v>6.8969258570000003</v>
      </c>
      <c r="D111" s="7">
        <v>6.0162479920000003</v>
      </c>
      <c r="E111" s="7">
        <v>0.18048744</v>
      </c>
      <c r="F111" s="4"/>
      <c r="G111" s="4"/>
      <c r="H111" s="7">
        <v>0.17264154600000001</v>
      </c>
      <c r="I111" s="7">
        <v>0.24063146899999999</v>
      </c>
      <c r="J111" s="4">
        <f>(H111+I111)/2</f>
        <v>0.20663650750000001</v>
      </c>
      <c r="K111" s="3">
        <v>23</v>
      </c>
      <c r="L111" s="3">
        <v>10</v>
      </c>
      <c r="M111" s="3">
        <f t="shared" si="43"/>
        <v>5.4054054054054053</v>
      </c>
      <c r="N111" s="15">
        <v>1</v>
      </c>
      <c r="O111">
        <f t="shared" si="33"/>
        <v>0.90317746530314091</v>
      </c>
      <c r="P111">
        <f t="shared" si="44"/>
        <v>1.1072021152170373</v>
      </c>
      <c r="Q111">
        <f t="shared" si="36"/>
        <v>6.8969258570000003</v>
      </c>
      <c r="R111">
        <f t="shared" si="37"/>
        <v>45.941819777602937</v>
      </c>
      <c r="S111">
        <f t="shared" si="38"/>
        <v>47.320074372763735</v>
      </c>
      <c r="T111">
        <f t="shared" si="39"/>
        <v>44.563565182442133</v>
      </c>
      <c r="U111">
        <f t="shared" si="40"/>
        <v>1.3782545951607972</v>
      </c>
      <c r="V111">
        <f t="shared" si="41"/>
        <v>1.3782545951608043</v>
      </c>
      <c r="W111">
        <f t="shared" si="42"/>
        <v>1.3782545951608007</v>
      </c>
    </row>
    <row r="112" spans="1:293">
      <c r="A112" s="66" t="s">
        <v>65</v>
      </c>
      <c r="B112" s="4">
        <v>522</v>
      </c>
      <c r="C112" s="7">
        <v>9.4765358469999992</v>
      </c>
      <c r="D112" s="7">
        <v>5.6216168480000004</v>
      </c>
      <c r="E112" s="7">
        <v>0.168648505</v>
      </c>
      <c r="F112" s="4"/>
      <c r="G112" s="4"/>
      <c r="H112" s="7">
        <v>0.234007083</v>
      </c>
      <c r="I112" s="7">
        <v>0.22948606999999999</v>
      </c>
      <c r="J112" s="4">
        <f t="shared" ref="J112:J129" si="45">(H112+I112)/2</f>
        <v>0.2317465765</v>
      </c>
      <c r="K112" s="3">
        <v>23</v>
      </c>
      <c r="L112" s="3">
        <v>10</v>
      </c>
      <c r="M112" s="3">
        <f t="shared" si="43"/>
        <v>5.4054054054054053</v>
      </c>
      <c r="N112" s="15">
        <v>1</v>
      </c>
      <c r="O112">
        <f t="shared" si="33"/>
        <v>0.90317746530314091</v>
      </c>
      <c r="P112">
        <f t="shared" si="44"/>
        <v>1.1072021152170373</v>
      </c>
      <c r="Q112">
        <f t="shared" si="36"/>
        <v>9.4765358469999992</v>
      </c>
      <c r="R112">
        <f t="shared" si="37"/>
        <v>58.984480486667742</v>
      </c>
      <c r="S112">
        <f t="shared" si="38"/>
        <v>60.754014896651093</v>
      </c>
      <c r="T112">
        <f t="shared" si="39"/>
        <v>57.214946076684377</v>
      </c>
      <c r="U112">
        <f t="shared" si="40"/>
        <v>1.7695344099833505</v>
      </c>
      <c r="V112">
        <f t="shared" si="41"/>
        <v>1.7695344099833648</v>
      </c>
      <c r="W112">
        <f t="shared" si="42"/>
        <v>1.7695344099833576</v>
      </c>
    </row>
    <row r="113" spans="1:23">
      <c r="A113" s="1"/>
      <c r="B113" s="4">
        <v>522</v>
      </c>
      <c r="C113" s="7">
        <v>12.07362603</v>
      </c>
      <c r="D113" s="7">
        <v>5.2604771789999996</v>
      </c>
      <c r="E113" s="7">
        <v>0.15781431500000001</v>
      </c>
      <c r="F113" s="4"/>
      <c r="G113" s="4"/>
      <c r="H113" s="7">
        <v>0.273496925</v>
      </c>
      <c r="I113" s="7">
        <v>0.32144856900000002</v>
      </c>
      <c r="J113" s="4">
        <f t="shared" si="45"/>
        <v>0.29747274700000004</v>
      </c>
      <c r="K113" s="3">
        <v>23</v>
      </c>
      <c r="L113" s="3">
        <v>10</v>
      </c>
      <c r="M113" s="3">
        <f t="shared" ref="M113:M129" si="46">L113/1.85</f>
        <v>5.4054054054054053</v>
      </c>
      <c r="N113" s="15">
        <v>1</v>
      </c>
      <c r="O113">
        <f t="shared" si="33"/>
        <v>0.90317746530314091</v>
      </c>
      <c r="P113">
        <f t="shared" si="44"/>
        <v>1.1072021152170373</v>
      </c>
      <c r="Q113">
        <f t="shared" si="36"/>
        <v>12.07362603</v>
      </c>
      <c r="R113">
        <f t="shared" si="37"/>
        <v>70.32176580853681</v>
      </c>
      <c r="S113">
        <f t="shared" si="38"/>
        <v>72.431418777846787</v>
      </c>
      <c r="T113">
        <f t="shared" si="39"/>
        <v>68.212112839226847</v>
      </c>
      <c r="U113">
        <f t="shared" si="40"/>
        <v>2.1096529693099768</v>
      </c>
      <c r="V113">
        <f t="shared" si="41"/>
        <v>2.1096529693099626</v>
      </c>
      <c r="W113">
        <f t="shared" si="42"/>
        <v>2.1096529693099697</v>
      </c>
    </row>
    <row r="114" spans="1:23">
      <c r="A114" s="1"/>
      <c r="B114" s="4">
        <v>522</v>
      </c>
      <c r="C114" s="7">
        <v>14.48470129</v>
      </c>
      <c r="D114" s="7">
        <v>5.0362167769999999</v>
      </c>
      <c r="E114" s="7">
        <v>0.15108650300000001</v>
      </c>
      <c r="F114" s="4"/>
      <c r="G114" s="4"/>
      <c r="H114" s="7">
        <v>0.29859004500000003</v>
      </c>
      <c r="I114" s="7">
        <v>0.30426218999999999</v>
      </c>
      <c r="J114" s="4">
        <f t="shared" si="45"/>
        <v>0.30142611750000003</v>
      </c>
      <c r="K114" s="3">
        <v>23</v>
      </c>
      <c r="L114" s="3">
        <v>10</v>
      </c>
      <c r="M114" s="3">
        <f t="shared" si="46"/>
        <v>5.4054054054054053</v>
      </c>
      <c r="N114" s="15">
        <v>1</v>
      </c>
      <c r="O114">
        <f t="shared" si="33"/>
        <v>0.90317746530314091</v>
      </c>
      <c r="P114">
        <f t="shared" si="44"/>
        <v>1.1072021152170373</v>
      </c>
      <c r="Q114">
        <f t="shared" si="36"/>
        <v>14.48470129</v>
      </c>
      <c r="R114">
        <f t="shared" si="37"/>
        <v>80.768285800894475</v>
      </c>
      <c r="S114">
        <f t="shared" si="38"/>
        <v>83.191334369949686</v>
      </c>
      <c r="T114">
        <f t="shared" si="39"/>
        <v>78.345237231839249</v>
      </c>
      <c r="U114">
        <f t="shared" si="40"/>
        <v>2.4230485690552115</v>
      </c>
      <c r="V114">
        <f t="shared" si="41"/>
        <v>2.4230485690552257</v>
      </c>
      <c r="W114">
        <f t="shared" si="42"/>
        <v>2.4230485690552186</v>
      </c>
    </row>
    <row r="115" spans="1:23">
      <c r="A115" s="1"/>
      <c r="B115" s="4">
        <v>522</v>
      </c>
      <c r="C115" s="7">
        <v>16.804226799999999</v>
      </c>
      <c r="D115" s="7">
        <v>4.9035203689999998</v>
      </c>
      <c r="E115" s="7">
        <v>0.147105611</v>
      </c>
      <c r="F115" s="4"/>
      <c r="G115" s="4"/>
      <c r="H115" s="7">
        <v>0.50352016600000005</v>
      </c>
      <c r="I115" s="7">
        <v>0.34483102300000001</v>
      </c>
      <c r="J115" s="4">
        <f t="shared" si="45"/>
        <v>0.42417559450000003</v>
      </c>
      <c r="K115" s="3">
        <v>23</v>
      </c>
      <c r="L115" s="3">
        <v>10</v>
      </c>
      <c r="M115" s="3">
        <f t="shared" si="46"/>
        <v>5.4054054054054053</v>
      </c>
      <c r="N115" s="15">
        <v>1</v>
      </c>
      <c r="O115">
        <f t="shared" si="33"/>
        <v>0.90317746530314091</v>
      </c>
      <c r="P115">
        <f t="shared" si="44"/>
        <v>1.1072021152170373</v>
      </c>
      <c r="Q115">
        <f t="shared" si="36"/>
        <v>16.804226799999999</v>
      </c>
      <c r="R115">
        <f t="shared" si="37"/>
        <v>91.233308585084245</v>
      </c>
      <c r="S115">
        <f t="shared" si="38"/>
        <v>93.97030784133436</v>
      </c>
      <c r="T115">
        <f t="shared" si="39"/>
        <v>88.496309328834116</v>
      </c>
      <c r="U115">
        <f t="shared" si="40"/>
        <v>2.7369992562501153</v>
      </c>
      <c r="V115">
        <f t="shared" si="41"/>
        <v>2.7369992562501295</v>
      </c>
      <c r="W115">
        <f t="shared" si="42"/>
        <v>2.7369992562501224</v>
      </c>
    </row>
    <row r="116" spans="1:23">
      <c r="A116" s="1"/>
      <c r="B116" s="4">
        <v>522</v>
      </c>
      <c r="C116" s="7">
        <v>19.289307390000001</v>
      </c>
      <c r="D116" s="7">
        <v>4.7308194889999999</v>
      </c>
      <c r="E116" s="7">
        <v>0.14192458499999999</v>
      </c>
      <c r="F116" s="4"/>
      <c r="G116" s="4"/>
      <c r="H116" s="7">
        <v>0.16785602499999999</v>
      </c>
      <c r="I116" s="7">
        <v>0.29391602999999999</v>
      </c>
      <c r="J116" s="4">
        <f t="shared" si="45"/>
        <v>0.23088602749999998</v>
      </c>
      <c r="K116" s="3">
        <v>23</v>
      </c>
      <c r="L116" s="3">
        <v>10</v>
      </c>
      <c r="M116" s="3">
        <f t="shared" si="46"/>
        <v>5.4054054054054053</v>
      </c>
      <c r="N116" s="15">
        <v>1</v>
      </c>
      <c r="O116">
        <f t="shared" si="33"/>
        <v>0.90317746530314091</v>
      </c>
      <c r="P116">
        <f t="shared" si="44"/>
        <v>1.1072021152170373</v>
      </c>
      <c r="Q116">
        <f t="shared" si="36"/>
        <v>19.289307390000001</v>
      </c>
      <c r="R116">
        <f t="shared" si="37"/>
        <v>101.03687795099638</v>
      </c>
      <c r="S116">
        <f t="shared" si="38"/>
        <v>104.06798429657412</v>
      </c>
      <c r="T116">
        <f t="shared" si="39"/>
        <v>98.00577160541863</v>
      </c>
      <c r="U116">
        <f t="shared" si="40"/>
        <v>3.0311063455777401</v>
      </c>
      <c r="V116">
        <f t="shared" si="41"/>
        <v>3.0311063455777543</v>
      </c>
      <c r="W116">
        <f t="shared" si="42"/>
        <v>3.0311063455777472</v>
      </c>
    </row>
    <row r="117" spans="1:23">
      <c r="A117" s="1"/>
      <c r="B117" s="4">
        <v>522</v>
      </c>
      <c r="C117" s="7">
        <v>21.551985330000001</v>
      </c>
      <c r="D117" s="7">
        <v>4.5396845509999997</v>
      </c>
      <c r="E117" s="7">
        <v>0.136190537</v>
      </c>
      <c r="F117" s="4"/>
      <c r="G117" s="4"/>
      <c r="H117" s="7">
        <v>0.37942098400000002</v>
      </c>
      <c r="I117" s="7">
        <v>0.324932677</v>
      </c>
      <c r="J117" s="4">
        <f t="shared" si="45"/>
        <v>0.35217683050000004</v>
      </c>
      <c r="K117" s="3">
        <v>23</v>
      </c>
      <c r="L117" s="3">
        <v>10</v>
      </c>
      <c r="M117" s="3">
        <f t="shared" si="46"/>
        <v>5.4054054054054053</v>
      </c>
      <c r="N117" s="15">
        <v>1</v>
      </c>
      <c r="O117">
        <f t="shared" si="33"/>
        <v>0.90317746530314091</v>
      </c>
      <c r="P117">
        <f t="shared" si="44"/>
        <v>1.1072021152170373</v>
      </c>
      <c r="Q117">
        <f t="shared" si="36"/>
        <v>21.551985330000001</v>
      </c>
      <c r="R117">
        <f t="shared" si="37"/>
        <v>108.32778562864281</v>
      </c>
      <c r="S117">
        <f t="shared" si="38"/>
        <v>111.57761920871742</v>
      </c>
      <c r="T117">
        <f t="shared" si="39"/>
        <v>105.07795204856819</v>
      </c>
      <c r="U117">
        <f t="shared" si="40"/>
        <v>3.2498335800746077</v>
      </c>
      <c r="V117">
        <f t="shared" si="41"/>
        <v>3.2498335800746219</v>
      </c>
      <c r="W117">
        <f t="shared" si="42"/>
        <v>3.2498335800746148</v>
      </c>
    </row>
    <row r="118" spans="1:23">
      <c r="A118" s="1"/>
      <c r="B118" s="4">
        <v>522</v>
      </c>
      <c r="C118" s="7">
        <v>23.81931702</v>
      </c>
      <c r="D118" s="7">
        <v>4.4580120299999999</v>
      </c>
      <c r="E118" s="7">
        <v>0.133740361</v>
      </c>
      <c r="F118" s="4"/>
      <c r="G118" s="4"/>
      <c r="H118" s="7">
        <v>0.33487066599999998</v>
      </c>
      <c r="I118" s="7">
        <v>0.32434484699999999</v>
      </c>
      <c r="J118" s="4">
        <f t="shared" si="45"/>
        <v>0.32960775649999996</v>
      </c>
      <c r="K118" s="3">
        <v>23</v>
      </c>
      <c r="L118" s="3">
        <v>10</v>
      </c>
      <c r="M118" s="3">
        <f t="shared" si="46"/>
        <v>5.4054054054054053</v>
      </c>
      <c r="N118" s="15">
        <v>1</v>
      </c>
      <c r="O118">
        <f t="shared" si="33"/>
        <v>0.90317746530314091</v>
      </c>
      <c r="P118">
        <f t="shared" si="44"/>
        <v>1.1072021152170373</v>
      </c>
      <c r="Q118">
        <f t="shared" si="36"/>
        <v>23.81931702</v>
      </c>
      <c r="R118">
        <f t="shared" si="37"/>
        <v>117.57025158494559</v>
      </c>
      <c r="S118">
        <f t="shared" si="38"/>
        <v>121.09735913513123</v>
      </c>
      <c r="T118">
        <f t="shared" si="39"/>
        <v>114.04314403475993</v>
      </c>
      <c r="U118">
        <f t="shared" si="40"/>
        <v>3.527107550185633</v>
      </c>
      <c r="V118">
        <f t="shared" si="41"/>
        <v>3.5271075501856615</v>
      </c>
      <c r="W118">
        <f t="shared" si="42"/>
        <v>3.5271075501856473</v>
      </c>
    </row>
    <row r="119" spans="1:23">
      <c r="A119" s="1"/>
      <c r="B119" s="4">
        <v>522</v>
      </c>
      <c r="C119" s="7">
        <v>26.15537406</v>
      </c>
      <c r="D119" s="7">
        <v>4.340596734</v>
      </c>
      <c r="E119" s="7">
        <v>0.130217902</v>
      </c>
      <c r="F119" s="4"/>
      <c r="G119" s="4"/>
      <c r="H119" s="7">
        <v>0.28772400300000001</v>
      </c>
      <c r="I119" s="7">
        <v>0.32111444500000003</v>
      </c>
      <c r="J119" s="4">
        <f t="shared" si="45"/>
        <v>0.30441922399999999</v>
      </c>
      <c r="K119" s="3">
        <v>23</v>
      </c>
      <c r="L119" s="3">
        <v>10</v>
      </c>
      <c r="M119" s="3">
        <f t="shared" si="46"/>
        <v>5.4054054054054053</v>
      </c>
      <c r="N119" s="15">
        <v>1</v>
      </c>
      <c r="O119">
        <f t="shared" si="33"/>
        <v>0.90317746530314091</v>
      </c>
      <c r="P119">
        <f t="shared" si="44"/>
        <v>1.1072021152170373</v>
      </c>
      <c r="Q119">
        <f t="shared" si="36"/>
        <v>26.15537406</v>
      </c>
      <c r="R119">
        <f t="shared" si="37"/>
        <v>125.70057998876148</v>
      </c>
      <c r="S119">
        <f t="shared" si="38"/>
        <v>129.47159738784512</v>
      </c>
      <c r="T119">
        <f t="shared" si="39"/>
        <v>121.92956258967781</v>
      </c>
      <c r="U119">
        <f t="shared" si="40"/>
        <v>3.7710173990836466</v>
      </c>
      <c r="V119">
        <f t="shared" si="41"/>
        <v>3.7710173990836608</v>
      </c>
      <c r="W119">
        <f t="shared" si="42"/>
        <v>3.7710173990836537</v>
      </c>
    </row>
    <row r="120" spans="1:23">
      <c r="A120" s="1"/>
      <c r="B120" s="4">
        <v>522</v>
      </c>
      <c r="C120" s="7">
        <v>28.25737067</v>
      </c>
      <c r="D120" s="7">
        <v>4.30772216</v>
      </c>
      <c r="E120" s="7">
        <v>0.129231665</v>
      </c>
      <c r="F120" s="4"/>
      <c r="G120" s="4"/>
      <c r="H120" s="7">
        <v>0.27780197400000001</v>
      </c>
      <c r="I120" s="7">
        <v>0.33001609199999998</v>
      </c>
      <c r="J120" s="4">
        <f t="shared" si="45"/>
        <v>0.303909033</v>
      </c>
      <c r="K120" s="3">
        <v>23</v>
      </c>
      <c r="L120" s="3">
        <v>10</v>
      </c>
      <c r="M120" s="3">
        <f t="shared" si="46"/>
        <v>5.4054054054054053</v>
      </c>
      <c r="N120" s="15">
        <v>1</v>
      </c>
      <c r="O120">
        <f t="shared" si="33"/>
        <v>0.90317746530314091</v>
      </c>
      <c r="P120">
        <f t="shared" si="44"/>
        <v>1.1072021152170373</v>
      </c>
      <c r="Q120">
        <f t="shared" si="36"/>
        <v>28.25737067</v>
      </c>
      <c r="R120">
        <f t="shared" si="37"/>
        <v>134.77406876802169</v>
      </c>
      <c r="S120">
        <f t="shared" si="38"/>
        <v>138.81729083731966</v>
      </c>
      <c r="T120">
        <f t="shared" si="39"/>
        <v>130.73084669872372</v>
      </c>
      <c r="U120">
        <f t="shared" si="40"/>
        <v>4.0432220692979683</v>
      </c>
      <c r="V120">
        <f t="shared" si="41"/>
        <v>4.0432220692979683</v>
      </c>
      <c r="W120">
        <f t="shared" si="42"/>
        <v>4.0432220692979683</v>
      </c>
    </row>
    <row r="121" spans="1:23">
      <c r="A121" s="1"/>
      <c r="B121" s="4">
        <v>522</v>
      </c>
      <c r="C121" s="7">
        <v>31.399926700000002</v>
      </c>
      <c r="D121" s="7">
        <v>4.149297936</v>
      </c>
      <c r="E121" s="7">
        <v>0.124478938</v>
      </c>
      <c r="F121" s="4"/>
      <c r="G121" s="4"/>
      <c r="H121" s="7">
        <v>0.279466402</v>
      </c>
      <c r="I121" s="7">
        <v>0.32774557700000001</v>
      </c>
      <c r="J121" s="4">
        <f t="shared" si="45"/>
        <v>0.30360598950000001</v>
      </c>
      <c r="K121" s="3">
        <v>23</v>
      </c>
      <c r="L121" s="3">
        <v>10</v>
      </c>
      <c r="M121" s="3">
        <f t="shared" si="46"/>
        <v>5.4054054054054053</v>
      </c>
      <c r="N121" s="15">
        <v>1</v>
      </c>
      <c r="O121">
        <f t="shared" si="33"/>
        <v>0.90317746530314091</v>
      </c>
      <c r="P121">
        <f t="shared" si="44"/>
        <v>1.1072021152170373</v>
      </c>
      <c r="Q121">
        <f t="shared" si="36"/>
        <v>31.399926700000002</v>
      </c>
      <c r="R121">
        <f t="shared" si="37"/>
        <v>144.25476282574408</v>
      </c>
      <c r="S121">
        <f t="shared" si="38"/>
        <v>148.58240570773509</v>
      </c>
      <c r="T121">
        <f t="shared" si="39"/>
        <v>139.92711994375301</v>
      </c>
      <c r="U121">
        <f t="shared" si="40"/>
        <v>4.3276428819910109</v>
      </c>
      <c r="V121">
        <f t="shared" si="41"/>
        <v>4.3276428819910677</v>
      </c>
      <c r="W121">
        <f t="shared" si="42"/>
        <v>4.3276428819910393</v>
      </c>
    </row>
    <row r="122" spans="1:23">
      <c r="A122" s="1"/>
      <c r="B122" s="4">
        <v>522</v>
      </c>
      <c r="C122" s="7">
        <v>35.578045379999999</v>
      </c>
      <c r="D122" s="7">
        <v>3.9739935829999999</v>
      </c>
      <c r="E122" s="7">
        <v>0.119219807</v>
      </c>
      <c r="F122" s="4"/>
      <c r="G122" s="4"/>
      <c r="H122" s="7">
        <v>0.46654917400000001</v>
      </c>
      <c r="I122" s="7">
        <v>0.36195212900000001</v>
      </c>
      <c r="J122" s="4">
        <f t="shared" si="45"/>
        <v>0.41425065150000001</v>
      </c>
      <c r="K122" s="3">
        <v>23</v>
      </c>
      <c r="L122" s="3">
        <v>10</v>
      </c>
      <c r="M122" s="3">
        <f t="shared" si="46"/>
        <v>5.4054054054054053</v>
      </c>
      <c r="N122" s="15">
        <v>1</v>
      </c>
      <c r="O122">
        <f t="shared" si="33"/>
        <v>0.90317746530314091</v>
      </c>
      <c r="P122">
        <f t="shared" si="44"/>
        <v>1.1072021152170373</v>
      </c>
      <c r="Q122">
        <f t="shared" si="36"/>
        <v>35.578045379999999</v>
      </c>
      <c r="R122">
        <f t="shared" si="37"/>
        <v>156.54390135647142</v>
      </c>
      <c r="S122">
        <f t="shared" si="38"/>
        <v>161.24021837786341</v>
      </c>
      <c r="T122">
        <f t="shared" si="39"/>
        <v>151.84758433507938</v>
      </c>
      <c r="U122">
        <f t="shared" si="40"/>
        <v>4.6963170213919909</v>
      </c>
      <c r="V122">
        <f t="shared" si="41"/>
        <v>4.6963170213920478</v>
      </c>
      <c r="W122">
        <f t="shared" si="42"/>
        <v>4.6963170213920193</v>
      </c>
    </row>
    <row r="123" spans="1:23">
      <c r="A123" s="1"/>
      <c r="B123" s="4">
        <v>522</v>
      </c>
      <c r="C123" s="7">
        <v>39.777355129999997</v>
      </c>
      <c r="D123" s="7">
        <v>3.8544583060000002</v>
      </c>
      <c r="E123" s="7">
        <v>0.11563374899999999</v>
      </c>
      <c r="F123" s="4"/>
      <c r="G123" s="4"/>
      <c r="H123" s="7">
        <v>0.37548021599999998</v>
      </c>
      <c r="I123" s="7">
        <v>0.287087967</v>
      </c>
      <c r="J123" s="4">
        <f t="shared" si="45"/>
        <v>0.33128409149999999</v>
      </c>
      <c r="K123" s="3">
        <v>23</v>
      </c>
      <c r="L123" s="3">
        <v>10</v>
      </c>
      <c r="M123" s="3">
        <f t="shared" si="46"/>
        <v>5.4054054054054053</v>
      </c>
      <c r="N123" s="15">
        <v>1</v>
      </c>
      <c r="O123">
        <f t="shared" si="33"/>
        <v>0.90317746530314091</v>
      </c>
      <c r="P123">
        <f t="shared" si="44"/>
        <v>1.1072021152170373</v>
      </c>
      <c r="Q123">
        <f t="shared" si="36"/>
        <v>39.777355129999997</v>
      </c>
      <c r="R123">
        <f t="shared" si="37"/>
        <v>169.7564019935773</v>
      </c>
      <c r="S123">
        <f t="shared" si="38"/>
        <v>174.84909404545715</v>
      </c>
      <c r="T123">
        <f t="shared" si="39"/>
        <v>164.66370994169745</v>
      </c>
      <c r="U123">
        <f t="shared" si="40"/>
        <v>5.0926920518798511</v>
      </c>
      <c r="V123">
        <f t="shared" si="41"/>
        <v>5.0926920518798511</v>
      </c>
      <c r="W123">
        <f t="shared" si="42"/>
        <v>5.0926920518798511</v>
      </c>
    </row>
    <row r="124" spans="1:23">
      <c r="A124" s="1"/>
      <c r="B124" s="4">
        <v>522</v>
      </c>
      <c r="C124" s="7">
        <v>43.873780009999997</v>
      </c>
      <c r="D124" s="7">
        <v>3.730719911</v>
      </c>
      <c r="E124" s="7">
        <v>0.111921597</v>
      </c>
      <c r="F124" s="4"/>
      <c r="G124" s="4"/>
      <c r="H124" s="7">
        <v>0.47353676300000003</v>
      </c>
      <c r="I124" s="7">
        <v>0.35217029399999999</v>
      </c>
      <c r="J124" s="4">
        <f t="shared" si="45"/>
        <v>0.41285352850000001</v>
      </c>
      <c r="K124" s="3">
        <v>23</v>
      </c>
      <c r="L124" s="3">
        <v>10</v>
      </c>
      <c r="M124" s="3">
        <f t="shared" si="46"/>
        <v>5.4054054054054053</v>
      </c>
      <c r="N124" s="15">
        <v>1</v>
      </c>
      <c r="O124">
        <f t="shared" si="33"/>
        <v>0.90317746530314091</v>
      </c>
      <c r="P124">
        <f t="shared" si="44"/>
        <v>1.1072021152170373</v>
      </c>
      <c r="Q124">
        <f t="shared" si="36"/>
        <v>43.873780009999997</v>
      </c>
      <c r="R124">
        <f t="shared" si="37"/>
        <v>181.22771098944904</v>
      </c>
      <c r="S124">
        <f t="shared" si="38"/>
        <v>186.66454230310205</v>
      </c>
      <c r="T124">
        <f t="shared" si="39"/>
        <v>175.79087967579602</v>
      </c>
      <c r="U124">
        <f t="shared" si="40"/>
        <v>5.4368313136530162</v>
      </c>
      <c r="V124">
        <f t="shared" si="41"/>
        <v>5.4368313136530162</v>
      </c>
      <c r="W124">
        <f t="shared" si="42"/>
        <v>5.4368313136530162</v>
      </c>
    </row>
    <row r="125" spans="1:23">
      <c r="A125" s="1"/>
      <c r="B125" s="4">
        <v>522</v>
      </c>
      <c r="C125" s="7">
        <v>49.723083209999999</v>
      </c>
      <c r="D125" s="7">
        <v>3.5113809919999999</v>
      </c>
      <c r="E125" s="7">
        <v>0.10534143</v>
      </c>
      <c r="F125" s="4"/>
      <c r="G125" s="4"/>
      <c r="H125" s="7">
        <v>0.372884508</v>
      </c>
      <c r="I125" s="7">
        <v>0.299861143</v>
      </c>
      <c r="J125" s="4">
        <f t="shared" si="45"/>
        <v>0.33637282550000003</v>
      </c>
      <c r="K125" s="3">
        <v>23</v>
      </c>
      <c r="L125" s="3">
        <v>10</v>
      </c>
      <c r="M125" s="3">
        <f t="shared" si="46"/>
        <v>5.4054054054054053</v>
      </c>
      <c r="N125" s="15">
        <v>1</v>
      </c>
      <c r="O125">
        <f t="shared" si="33"/>
        <v>0.90317746530314091</v>
      </c>
      <c r="P125">
        <f t="shared" si="44"/>
        <v>1.1072021152170373</v>
      </c>
      <c r="Q125">
        <f t="shared" si="36"/>
        <v>49.723083209999999</v>
      </c>
      <c r="R125">
        <f t="shared" si="37"/>
        <v>193.31382364442297</v>
      </c>
      <c r="S125">
        <f t="shared" si="38"/>
        <v>199.11323836696849</v>
      </c>
      <c r="T125">
        <f t="shared" si="39"/>
        <v>187.51440892187742</v>
      </c>
      <c r="U125">
        <f t="shared" si="40"/>
        <v>5.7994147225455208</v>
      </c>
      <c r="V125">
        <f t="shared" si="41"/>
        <v>5.7994147225455492</v>
      </c>
      <c r="W125">
        <f t="shared" si="42"/>
        <v>5.799414722545535</v>
      </c>
    </row>
    <row r="126" spans="1:23">
      <c r="A126" s="1"/>
      <c r="B126" s="4">
        <v>522</v>
      </c>
      <c r="C126" s="8">
        <v>56.5</v>
      </c>
      <c r="D126" s="8">
        <v>3.4323895439999998</v>
      </c>
      <c r="E126" s="8">
        <v>0.1</v>
      </c>
      <c r="F126" s="4"/>
      <c r="G126" s="4"/>
      <c r="H126" s="7">
        <v>0</v>
      </c>
      <c r="I126" s="7">
        <v>0</v>
      </c>
      <c r="J126" s="4">
        <f t="shared" si="45"/>
        <v>0</v>
      </c>
      <c r="K126" s="3">
        <v>23</v>
      </c>
      <c r="L126" s="3">
        <v>10</v>
      </c>
      <c r="M126" s="3">
        <f t="shared" si="46"/>
        <v>5.4054054054054053</v>
      </c>
      <c r="N126" s="15">
        <v>1</v>
      </c>
      <c r="O126">
        <f t="shared" si="33"/>
        <v>0.90317746530314091</v>
      </c>
      <c r="P126">
        <v>1.06</v>
      </c>
      <c r="Q126">
        <f t="shared" si="36"/>
        <v>56.5</v>
      </c>
      <c r="R126" s="17">
        <v>205.56580980000001</v>
      </c>
      <c r="S126">
        <f t="shared" si="38"/>
        <v>211.55480979015999</v>
      </c>
      <c r="T126">
        <f t="shared" si="39"/>
        <v>199.57680979015998</v>
      </c>
      <c r="U126">
        <f t="shared" si="40"/>
        <v>5.9889999901599822</v>
      </c>
      <c r="V126">
        <f t="shared" si="41"/>
        <v>5.9890000098400265</v>
      </c>
      <c r="W126">
        <f t="shared" si="42"/>
        <v>5.9890000000000043</v>
      </c>
    </row>
    <row r="127" spans="1:23">
      <c r="A127" s="1"/>
      <c r="B127" s="4">
        <v>522</v>
      </c>
      <c r="C127" s="7">
        <v>57.528399149999998</v>
      </c>
      <c r="D127" s="7">
        <v>3.3046517940000002</v>
      </c>
      <c r="E127" s="7">
        <v>9.9139554000000005E-2</v>
      </c>
      <c r="F127" s="4"/>
      <c r="G127" s="4"/>
      <c r="H127" s="7">
        <v>0.51272702699999995</v>
      </c>
      <c r="I127" s="7">
        <v>0.391205686</v>
      </c>
      <c r="J127" s="4">
        <f t="shared" si="45"/>
        <v>0.45196635649999994</v>
      </c>
      <c r="K127" s="3">
        <v>23</v>
      </c>
      <c r="L127" s="3">
        <v>10</v>
      </c>
      <c r="M127" s="3">
        <f t="shared" si="46"/>
        <v>5.4054054054054053</v>
      </c>
      <c r="N127" s="15">
        <v>1</v>
      </c>
      <c r="O127">
        <f t="shared" si="33"/>
        <v>0.90317746530314091</v>
      </c>
      <c r="P127">
        <f t="shared" ref="P127:P162" si="47">N127/O127</f>
        <v>1.1072021152170373</v>
      </c>
      <c r="Q127">
        <f t="shared" si="36"/>
        <v>57.528399149999998</v>
      </c>
      <c r="R127">
        <f t="shared" si="37"/>
        <v>210.49166388710432</v>
      </c>
      <c r="S127">
        <f t="shared" si="38"/>
        <v>216.80641381518268</v>
      </c>
      <c r="T127">
        <f t="shared" si="39"/>
        <v>204.17691395902597</v>
      </c>
      <c r="U127">
        <f t="shared" si="40"/>
        <v>6.3147499280783563</v>
      </c>
      <c r="V127">
        <f t="shared" si="41"/>
        <v>6.3147499280783563</v>
      </c>
      <c r="W127">
        <f t="shared" si="42"/>
        <v>6.3147499280783563</v>
      </c>
    </row>
    <row r="128" spans="1:23">
      <c r="A128" s="1"/>
      <c r="B128" s="4">
        <v>522</v>
      </c>
      <c r="C128" s="7">
        <v>65.038876009999996</v>
      </c>
      <c r="D128" s="7">
        <v>3.127410705</v>
      </c>
      <c r="E128" s="7">
        <v>9.3822321E-2</v>
      </c>
      <c r="F128" s="4"/>
      <c r="G128" s="4"/>
      <c r="H128" s="7">
        <v>0.50212869199999999</v>
      </c>
      <c r="I128" s="7">
        <v>0.37382011599999998</v>
      </c>
      <c r="J128" s="4">
        <f t="shared" si="45"/>
        <v>0.43797440399999998</v>
      </c>
      <c r="K128" s="3">
        <v>23</v>
      </c>
      <c r="L128" s="3">
        <v>10</v>
      </c>
      <c r="M128" s="3">
        <f t="shared" si="46"/>
        <v>5.4054054054054053</v>
      </c>
      <c r="N128" s="15">
        <v>1</v>
      </c>
      <c r="O128">
        <f t="shared" si="33"/>
        <v>0.90317746530314091</v>
      </c>
      <c r="P128">
        <f t="shared" si="47"/>
        <v>1.1072021152170373</v>
      </c>
      <c r="Q128">
        <f t="shared" si="36"/>
        <v>65.038876009999996</v>
      </c>
      <c r="R128">
        <f t="shared" si="37"/>
        <v>225.20853861934179</v>
      </c>
      <c r="S128">
        <f t="shared" si="38"/>
        <v>231.9647947671204</v>
      </c>
      <c r="T128">
        <f t="shared" si="39"/>
        <v>218.45228247156322</v>
      </c>
      <c r="U128">
        <f t="shared" si="40"/>
        <v>6.7562561477786005</v>
      </c>
      <c r="V128">
        <f t="shared" si="41"/>
        <v>6.7562561477785721</v>
      </c>
      <c r="W128">
        <f t="shared" si="42"/>
        <v>6.7562561477785863</v>
      </c>
    </row>
    <row r="129" spans="1:293">
      <c r="A129" s="1"/>
      <c r="B129" s="4">
        <v>522</v>
      </c>
      <c r="C129" s="7">
        <v>75.760874119999997</v>
      </c>
      <c r="D129" s="7">
        <v>2.8675734049999999</v>
      </c>
      <c r="E129" s="7">
        <v>8.6027201999999997E-2</v>
      </c>
      <c r="F129" s="4"/>
      <c r="G129" s="4"/>
      <c r="H129" s="7">
        <v>0.44429166599999997</v>
      </c>
      <c r="I129" s="7">
        <v>0.32653861699999998</v>
      </c>
      <c r="J129" s="4">
        <f t="shared" si="45"/>
        <v>0.3854151415</v>
      </c>
      <c r="K129" s="3">
        <v>23</v>
      </c>
      <c r="L129" s="3">
        <v>10</v>
      </c>
      <c r="M129" s="3">
        <f t="shared" si="46"/>
        <v>5.4054054054054053</v>
      </c>
      <c r="N129" s="15">
        <v>1</v>
      </c>
      <c r="O129">
        <f t="shared" si="33"/>
        <v>0.90317746530314091</v>
      </c>
      <c r="P129">
        <f t="shared" si="47"/>
        <v>1.1072021152170373</v>
      </c>
      <c r="Q129">
        <f t="shared" si="36"/>
        <v>75.760874119999997</v>
      </c>
      <c r="R129">
        <f t="shared" si="37"/>
        <v>240.53951312120856</v>
      </c>
      <c r="S129">
        <f t="shared" si="38"/>
        <v>247.75569850226242</v>
      </c>
      <c r="T129">
        <f t="shared" si="39"/>
        <v>233.3233277401547</v>
      </c>
      <c r="U129">
        <f t="shared" si="40"/>
        <v>7.2161853810538616</v>
      </c>
      <c r="V129">
        <f t="shared" si="41"/>
        <v>7.2161853810538616</v>
      </c>
      <c r="W129">
        <f t="shared" si="42"/>
        <v>7.2161853810538616</v>
      </c>
    </row>
    <row r="130" spans="1:293" s="20" customFormat="1">
      <c r="A130" s="18" t="s">
        <v>6</v>
      </c>
      <c r="B130" s="19">
        <v>530</v>
      </c>
      <c r="C130" s="19">
        <v>3</v>
      </c>
      <c r="D130" s="19">
        <v>6.562703</v>
      </c>
      <c r="E130" s="26">
        <v>1.2069535</v>
      </c>
      <c r="F130" s="19"/>
      <c r="G130" s="19"/>
      <c r="H130" s="19"/>
      <c r="I130" s="19"/>
      <c r="J130" s="19"/>
      <c r="K130" s="19">
        <v>0</v>
      </c>
      <c r="L130" s="22" t="s">
        <v>31</v>
      </c>
      <c r="M130" s="22" t="s">
        <v>30</v>
      </c>
      <c r="N130" s="24">
        <v>1</v>
      </c>
      <c r="O130" s="20">
        <v>0.96</v>
      </c>
      <c r="P130" s="20">
        <f t="shared" si="47"/>
        <v>1.0416666666666667</v>
      </c>
      <c r="Q130" s="20">
        <f t="shared" si="36"/>
        <v>3</v>
      </c>
      <c r="R130" s="20">
        <f t="shared" si="37"/>
        <v>20.508446875000001</v>
      </c>
      <c r="S130" s="20">
        <f t="shared" si="38"/>
        <v>24.280176562500003</v>
      </c>
      <c r="T130" s="20">
        <f t="shared" si="39"/>
        <v>16.736717187499998</v>
      </c>
      <c r="U130">
        <f t="shared" si="40"/>
        <v>3.7717296875000024</v>
      </c>
      <c r="V130">
        <f t="shared" si="41"/>
        <v>3.7717296875000024</v>
      </c>
      <c r="W130">
        <f t="shared" si="42"/>
        <v>3.7717296875000024</v>
      </c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  <c r="FQ130" s="33"/>
      <c r="FR130" s="33"/>
      <c r="FS130" s="33"/>
      <c r="FT130" s="33"/>
      <c r="FU130" s="33"/>
      <c r="FV130" s="33"/>
      <c r="FW130" s="33"/>
      <c r="FX130" s="33"/>
      <c r="FY130" s="33"/>
      <c r="FZ130" s="33"/>
      <c r="GA130" s="33"/>
      <c r="GB130" s="33"/>
      <c r="GC130" s="33"/>
      <c r="GD130" s="33"/>
      <c r="GE130" s="33"/>
      <c r="GF130" s="33"/>
      <c r="GG130" s="33"/>
      <c r="GH130" s="33"/>
      <c r="GI130" s="33"/>
      <c r="GJ130" s="33"/>
      <c r="GK130" s="33"/>
      <c r="GL130" s="33"/>
      <c r="GM130" s="33"/>
      <c r="GN130" s="33"/>
      <c r="GO130" s="33"/>
      <c r="GP130" s="33"/>
      <c r="GQ130" s="33"/>
      <c r="GR130" s="33"/>
      <c r="GS130" s="33"/>
      <c r="GT130" s="33"/>
      <c r="GU130" s="33"/>
      <c r="GV130" s="33"/>
      <c r="GW130" s="33"/>
      <c r="GX130" s="33"/>
      <c r="GY130" s="33"/>
      <c r="GZ130" s="33"/>
      <c r="HA130" s="33"/>
      <c r="HB130" s="33"/>
      <c r="HC130" s="33"/>
      <c r="HD130" s="33"/>
      <c r="HE130" s="33"/>
      <c r="HF130" s="33"/>
      <c r="HG130" s="33"/>
      <c r="HH130" s="33"/>
      <c r="HI130" s="33"/>
      <c r="HJ130" s="33"/>
      <c r="HK130" s="33"/>
      <c r="HL130" s="33"/>
      <c r="HM130" s="33"/>
      <c r="HN130" s="33"/>
      <c r="HO130" s="33"/>
      <c r="HP130" s="33"/>
      <c r="HQ130" s="33"/>
      <c r="HR130" s="33"/>
      <c r="HS130" s="33"/>
      <c r="HT130" s="33"/>
      <c r="HU130" s="33"/>
      <c r="HV130" s="33"/>
      <c r="HW130" s="33"/>
      <c r="HX130" s="33"/>
      <c r="HY130" s="33"/>
      <c r="HZ130" s="33"/>
      <c r="IA130" s="33"/>
      <c r="IB130" s="33"/>
      <c r="IC130" s="33"/>
      <c r="ID130" s="33"/>
      <c r="IE130" s="33"/>
      <c r="IF130" s="33"/>
      <c r="IG130" s="33"/>
      <c r="IH130" s="33"/>
      <c r="II130" s="33"/>
      <c r="IJ130" s="33"/>
      <c r="IK130" s="33"/>
      <c r="IL130" s="33"/>
      <c r="IM130" s="33"/>
      <c r="IN130" s="33"/>
      <c r="IO130" s="33"/>
      <c r="IP130" s="33"/>
      <c r="IQ130" s="33"/>
      <c r="IR130" s="33"/>
      <c r="IS130" s="33"/>
      <c r="IT130" s="33"/>
      <c r="IU130" s="33"/>
      <c r="IV130" s="33"/>
      <c r="IW130" s="33"/>
      <c r="IX130" s="33"/>
      <c r="IY130" s="33"/>
      <c r="IZ130" s="33"/>
      <c r="JA130" s="33"/>
      <c r="JB130" s="33"/>
      <c r="JC130" s="33"/>
      <c r="JD130" s="33"/>
      <c r="JE130" s="33"/>
      <c r="JF130" s="33"/>
      <c r="JG130" s="33"/>
      <c r="JH130" s="33"/>
      <c r="JI130" s="33"/>
      <c r="JJ130" s="33"/>
      <c r="JK130" s="33"/>
      <c r="JL130" s="33"/>
      <c r="JM130" s="33"/>
      <c r="JN130" s="33"/>
      <c r="JO130" s="33"/>
      <c r="JP130" s="33"/>
      <c r="JQ130" s="33"/>
      <c r="JR130" s="33"/>
      <c r="JS130" s="33"/>
      <c r="JT130" s="33"/>
      <c r="JU130" s="33"/>
      <c r="JV130" s="33"/>
      <c r="JW130" s="33"/>
      <c r="JX130" s="33"/>
      <c r="JY130" s="33"/>
      <c r="JZ130" s="33"/>
      <c r="KA130" s="33"/>
      <c r="KB130" s="33"/>
      <c r="KC130" s="33"/>
      <c r="KD130" s="33"/>
      <c r="KE130" s="33"/>
      <c r="KF130" s="33"/>
      <c r="KG130" s="33"/>
    </row>
    <row r="131" spans="1:293" s="20" customFormat="1">
      <c r="A131" s="65" t="s">
        <v>71</v>
      </c>
      <c r="B131" s="19">
        <v>530</v>
      </c>
      <c r="C131" s="19">
        <v>8</v>
      </c>
      <c r="D131" s="19">
        <v>6.2125519999999996</v>
      </c>
      <c r="E131" s="24">
        <v>0.58115450000000002</v>
      </c>
      <c r="F131" s="19"/>
      <c r="G131" s="19"/>
      <c r="H131" s="19"/>
      <c r="I131" s="19"/>
      <c r="J131" s="19"/>
      <c r="K131" s="19">
        <v>0</v>
      </c>
      <c r="L131" s="22" t="s">
        <v>31</v>
      </c>
      <c r="M131" s="22" t="s">
        <v>30</v>
      </c>
      <c r="N131" s="24">
        <v>1</v>
      </c>
      <c r="O131" s="20">
        <v>0.96</v>
      </c>
      <c r="P131" s="20">
        <f t="shared" si="47"/>
        <v>1.0416666666666667</v>
      </c>
      <c r="Q131" s="20">
        <f t="shared" si="36"/>
        <v>8</v>
      </c>
      <c r="R131" s="20">
        <f t="shared" si="37"/>
        <v>51.771266666666669</v>
      </c>
      <c r="S131" s="20">
        <f t="shared" si="38"/>
        <v>56.614220833333334</v>
      </c>
      <c r="T131" s="20">
        <f t="shared" si="39"/>
        <v>46.928312499999997</v>
      </c>
      <c r="U131">
        <f t="shared" si="40"/>
        <v>4.8429541666666651</v>
      </c>
      <c r="V131">
        <f t="shared" si="41"/>
        <v>4.8429541666666722</v>
      </c>
      <c r="W131">
        <f t="shared" si="42"/>
        <v>4.8429541666666687</v>
      </c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  <c r="FP131" s="33"/>
      <c r="FQ131" s="33"/>
      <c r="FR131" s="33"/>
      <c r="FS131" s="33"/>
      <c r="FT131" s="33"/>
      <c r="FU131" s="33"/>
      <c r="FV131" s="33"/>
      <c r="FW131" s="33"/>
      <c r="FX131" s="33"/>
      <c r="FY131" s="33"/>
      <c r="FZ131" s="33"/>
      <c r="GA131" s="33"/>
      <c r="GB131" s="33"/>
      <c r="GC131" s="33"/>
      <c r="GD131" s="33"/>
      <c r="GE131" s="33"/>
      <c r="GF131" s="33"/>
      <c r="GG131" s="33"/>
      <c r="GH131" s="33"/>
      <c r="GI131" s="33"/>
      <c r="GJ131" s="33"/>
      <c r="GK131" s="33"/>
      <c r="GL131" s="33"/>
      <c r="GM131" s="33"/>
      <c r="GN131" s="33"/>
      <c r="GO131" s="33"/>
      <c r="GP131" s="33"/>
      <c r="GQ131" s="33"/>
      <c r="GR131" s="33"/>
      <c r="GS131" s="33"/>
      <c r="GT131" s="33"/>
      <c r="GU131" s="33"/>
      <c r="GV131" s="33"/>
      <c r="GW131" s="33"/>
      <c r="GX131" s="33"/>
      <c r="GY131" s="33"/>
      <c r="GZ131" s="33"/>
      <c r="HA131" s="33"/>
      <c r="HB131" s="33"/>
      <c r="HC131" s="33"/>
      <c r="HD131" s="33"/>
      <c r="HE131" s="33"/>
      <c r="HF131" s="33"/>
      <c r="HG131" s="33"/>
      <c r="HH131" s="33"/>
      <c r="HI131" s="33"/>
      <c r="HJ131" s="33"/>
      <c r="HK131" s="33"/>
      <c r="HL131" s="33"/>
      <c r="HM131" s="33"/>
      <c r="HN131" s="33"/>
      <c r="HO131" s="33"/>
      <c r="HP131" s="33"/>
      <c r="HQ131" s="33"/>
      <c r="HR131" s="33"/>
      <c r="HS131" s="33"/>
      <c r="HT131" s="33"/>
      <c r="HU131" s="33"/>
      <c r="HV131" s="33"/>
      <c r="HW131" s="33"/>
      <c r="HX131" s="33"/>
      <c r="HY131" s="33"/>
      <c r="HZ131" s="33"/>
      <c r="IA131" s="33"/>
      <c r="IB131" s="33"/>
      <c r="IC131" s="33"/>
      <c r="ID131" s="33"/>
      <c r="IE131" s="33"/>
      <c r="IF131" s="33"/>
      <c r="IG131" s="33"/>
      <c r="IH131" s="33"/>
      <c r="II131" s="33"/>
      <c r="IJ131" s="33"/>
      <c r="IK131" s="33"/>
      <c r="IL131" s="33"/>
      <c r="IM131" s="33"/>
      <c r="IN131" s="33"/>
      <c r="IO131" s="33"/>
      <c r="IP131" s="33"/>
      <c r="IQ131" s="33"/>
      <c r="IR131" s="33"/>
      <c r="IS131" s="33"/>
      <c r="IT131" s="33"/>
      <c r="IU131" s="33"/>
      <c r="IV131" s="33"/>
      <c r="IW131" s="33"/>
      <c r="IX131" s="33"/>
      <c r="IY131" s="33"/>
      <c r="IZ131" s="33"/>
      <c r="JA131" s="33"/>
      <c r="JB131" s="33"/>
      <c r="JC131" s="33"/>
      <c r="JD131" s="33"/>
      <c r="JE131" s="33"/>
      <c r="JF131" s="33"/>
      <c r="JG131" s="33"/>
      <c r="JH131" s="33"/>
      <c r="JI131" s="33"/>
      <c r="JJ131" s="33"/>
      <c r="JK131" s="33"/>
      <c r="JL131" s="33"/>
      <c r="JM131" s="33"/>
      <c r="JN131" s="33"/>
      <c r="JO131" s="33"/>
      <c r="JP131" s="33"/>
      <c r="JQ131" s="33"/>
      <c r="JR131" s="33"/>
      <c r="JS131" s="33"/>
      <c r="JT131" s="33"/>
      <c r="JU131" s="33"/>
      <c r="JV131" s="33"/>
      <c r="JW131" s="33"/>
      <c r="JX131" s="33"/>
      <c r="JY131" s="33"/>
      <c r="JZ131" s="33"/>
      <c r="KA131" s="33"/>
      <c r="KB131" s="33"/>
      <c r="KC131" s="33"/>
      <c r="KD131" s="33"/>
      <c r="KE131" s="33"/>
      <c r="KF131" s="33"/>
      <c r="KG131" s="33"/>
    </row>
    <row r="132" spans="1:293" s="20" customFormat="1">
      <c r="A132" s="25"/>
      <c r="B132" s="19">
        <v>530</v>
      </c>
      <c r="C132" s="19">
        <v>15</v>
      </c>
      <c r="D132" s="19">
        <v>5.5021440000000004</v>
      </c>
      <c r="E132" s="26">
        <v>0.35761599999999999</v>
      </c>
      <c r="F132" s="19"/>
      <c r="G132" s="19"/>
      <c r="H132" s="19"/>
      <c r="I132" s="19"/>
      <c r="J132" s="19"/>
      <c r="K132" s="19">
        <v>0</v>
      </c>
      <c r="L132" s="22" t="s">
        <v>31</v>
      </c>
      <c r="M132" s="22" t="s">
        <v>30</v>
      </c>
      <c r="N132" s="24">
        <v>1</v>
      </c>
      <c r="O132" s="20">
        <v>0.96</v>
      </c>
      <c r="P132" s="20">
        <f t="shared" si="47"/>
        <v>1.0416666666666667</v>
      </c>
      <c r="Q132" s="20">
        <f t="shared" si="36"/>
        <v>15</v>
      </c>
      <c r="R132" s="20">
        <f t="shared" si="37"/>
        <v>85.971000000000018</v>
      </c>
      <c r="S132" s="20">
        <f t="shared" si="38"/>
        <v>91.558750000000018</v>
      </c>
      <c r="T132" s="20">
        <f t="shared" si="39"/>
        <v>80.383250000000018</v>
      </c>
      <c r="U132">
        <f t="shared" si="40"/>
        <v>5.5877499999999998</v>
      </c>
      <c r="V132">
        <f t="shared" si="41"/>
        <v>5.5877499999999998</v>
      </c>
      <c r="W132">
        <f t="shared" si="42"/>
        <v>5.5877499999999998</v>
      </c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  <c r="FQ132" s="33"/>
      <c r="FR132" s="33"/>
      <c r="FS132" s="33"/>
      <c r="FT132" s="33"/>
      <c r="FU132" s="33"/>
      <c r="FV132" s="33"/>
      <c r="FW132" s="33"/>
      <c r="FX132" s="33"/>
      <c r="FY132" s="33"/>
      <c r="FZ132" s="33"/>
      <c r="GA132" s="33"/>
      <c r="GB132" s="33"/>
      <c r="GC132" s="33"/>
      <c r="GD132" s="33"/>
      <c r="GE132" s="33"/>
      <c r="GF132" s="33"/>
      <c r="GG132" s="33"/>
      <c r="GH132" s="33"/>
      <c r="GI132" s="33"/>
      <c r="GJ132" s="33"/>
      <c r="GK132" s="33"/>
      <c r="GL132" s="33"/>
      <c r="GM132" s="33"/>
      <c r="GN132" s="33"/>
      <c r="GO132" s="33"/>
      <c r="GP132" s="33"/>
      <c r="GQ132" s="33"/>
      <c r="GR132" s="33"/>
      <c r="GS132" s="33"/>
      <c r="GT132" s="33"/>
      <c r="GU132" s="33"/>
      <c r="GV132" s="33"/>
      <c r="GW132" s="33"/>
      <c r="GX132" s="33"/>
      <c r="GY132" s="33"/>
      <c r="GZ132" s="33"/>
      <c r="HA132" s="33"/>
      <c r="HB132" s="33"/>
      <c r="HC132" s="33"/>
      <c r="HD132" s="33"/>
      <c r="HE132" s="33"/>
      <c r="HF132" s="33"/>
      <c r="HG132" s="33"/>
      <c r="HH132" s="33"/>
      <c r="HI132" s="33"/>
      <c r="HJ132" s="33"/>
      <c r="HK132" s="33"/>
      <c r="HL132" s="33"/>
      <c r="HM132" s="33"/>
      <c r="HN132" s="33"/>
      <c r="HO132" s="33"/>
      <c r="HP132" s="33"/>
      <c r="HQ132" s="33"/>
      <c r="HR132" s="33"/>
      <c r="HS132" s="33"/>
      <c r="HT132" s="33"/>
      <c r="HU132" s="33"/>
      <c r="HV132" s="33"/>
      <c r="HW132" s="33"/>
      <c r="HX132" s="33"/>
      <c r="HY132" s="33"/>
      <c r="HZ132" s="33"/>
      <c r="IA132" s="33"/>
      <c r="IB132" s="33"/>
      <c r="IC132" s="33"/>
      <c r="ID132" s="33"/>
      <c r="IE132" s="33"/>
      <c r="IF132" s="33"/>
      <c r="IG132" s="33"/>
      <c r="IH132" s="33"/>
      <c r="II132" s="33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  <c r="IW132" s="33"/>
      <c r="IX132" s="33"/>
      <c r="IY132" s="33"/>
      <c r="IZ132" s="33"/>
      <c r="JA132" s="33"/>
      <c r="JB132" s="33"/>
      <c r="JC132" s="33"/>
      <c r="JD132" s="33"/>
      <c r="JE132" s="33"/>
      <c r="JF132" s="33"/>
      <c r="JG132" s="33"/>
      <c r="JH132" s="33"/>
      <c r="JI132" s="33"/>
      <c r="JJ132" s="33"/>
      <c r="JK132" s="33"/>
      <c r="JL132" s="33"/>
      <c r="JM132" s="33"/>
      <c r="JN132" s="33"/>
      <c r="JO132" s="33"/>
      <c r="JP132" s="33"/>
      <c r="JQ132" s="33"/>
      <c r="JR132" s="33"/>
      <c r="JS132" s="33"/>
      <c r="JT132" s="33"/>
      <c r="JU132" s="33"/>
      <c r="JV132" s="33"/>
      <c r="JW132" s="33"/>
      <c r="JX132" s="33"/>
      <c r="JY132" s="33"/>
      <c r="JZ132" s="33"/>
      <c r="KA132" s="33"/>
      <c r="KB132" s="33"/>
      <c r="KC132" s="33"/>
      <c r="KD132" s="33"/>
      <c r="KE132" s="33"/>
      <c r="KF132" s="33"/>
      <c r="KG132" s="33"/>
    </row>
    <row r="133" spans="1:293" s="20" customFormat="1">
      <c r="A133" s="25"/>
      <c r="B133" s="19">
        <v>530</v>
      </c>
      <c r="C133" s="19">
        <v>25</v>
      </c>
      <c r="D133" s="19">
        <v>4.9695669999999996</v>
      </c>
      <c r="E133" s="26">
        <v>0.283113</v>
      </c>
      <c r="F133" s="19"/>
      <c r="G133" s="19"/>
      <c r="H133" s="19"/>
      <c r="I133" s="19"/>
      <c r="J133" s="19"/>
      <c r="K133" s="19">
        <v>0</v>
      </c>
      <c r="L133" s="22" t="s">
        <v>31</v>
      </c>
      <c r="M133" s="22" t="s">
        <v>30</v>
      </c>
      <c r="N133" s="24">
        <v>1</v>
      </c>
      <c r="O133" s="20">
        <v>0.96</v>
      </c>
      <c r="P133" s="20">
        <f t="shared" si="47"/>
        <v>1.0416666666666667</v>
      </c>
      <c r="Q133" s="20">
        <f t="shared" si="36"/>
        <v>25</v>
      </c>
      <c r="R133" s="20">
        <f t="shared" si="37"/>
        <v>129.41580729166665</v>
      </c>
      <c r="S133" s="20">
        <f t="shared" si="38"/>
        <v>136.78854166666667</v>
      </c>
      <c r="T133" s="20">
        <f t="shared" si="39"/>
        <v>122.04307291666666</v>
      </c>
      <c r="U133">
        <f t="shared" si="40"/>
        <v>7.3727343750000216</v>
      </c>
      <c r="V133">
        <f t="shared" si="41"/>
        <v>7.3727343749999932</v>
      </c>
      <c r="W133">
        <f t="shared" si="42"/>
        <v>7.3727343750000074</v>
      </c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  <c r="FQ133" s="33"/>
      <c r="FR133" s="33"/>
      <c r="FS133" s="33"/>
      <c r="FT133" s="33"/>
      <c r="FU133" s="33"/>
      <c r="FV133" s="33"/>
      <c r="FW133" s="33"/>
      <c r="FX133" s="33"/>
      <c r="FY133" s="33"/>
      <c r="FZ133" s="33"/>
      <c r="GA133" s="33"/>
      <c r="GB133" s="33"/>
      <c r="GC133" s="33"/>
      <c r="GD133" s="33"/>
      <c r="GE133" s="33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33"/>
      <c r="GR133" s="33"/>
      <c r="GS133" s="33"/>
      <c r="GT133" s="33"/>
      <c r="GU133" s="33"/>
      <c r="GV133" s="33"/>
      <c r="GW133" s="33"/>
      <c r="GX133" s="33"/>
      <c r="GY133" s="33"/>
      <c r="GZ133" s="33"/>
      <c r="HA133" s="33"/>
      <c r="HB133" s="33"/>
      <c r="HC133" s="33"/>
      <c r="HD133" s="33"/>
      <c r="HE133" s="33"/>
      <c r="HF133" s="33"/>
      <c r="HG133" s="33"/>
      <c r="HH133" s="33"/>
      <c r="HI133" s="33"/>
      <c r="HJ133" s="33"/>
      <c r="HK133" s="33"/>
      <c r="HL133" s="33"/>
      <c r="HM133" s="33"/>
      <c r="HN133" s="33"/>
      <c r="HO133" s="33"/>
      <c r="HP133" s="33"/>
      <c r="HQ133" s="33"/>
      <c r="HR133" s="33"/>
      <c r="HS133" s="33"/>
      <c r="HT133" s="33"/>
      <c r="HU133" s="33"/>
      <c r="HV133" s="33"/>
      <c r="HW133" s="33"/>
      <c r="HX133" s="33"/>
      <c r="HY133" s="33"/>
      <c r="HZ133" s="33"/>
      <c r="IA133" s="33"/>
      <c r="IB133" s="33"/>
      <c r="IC133" s="33"/>
      <c r="ID133" s="33"/>
      <c r="IE133" s="33"/>
      <c r="IF133" s="33"/>
      <c r="IG133" s="33"/>
      <c r="IH133" s="33"/>
      <c r="II133" s="33"/>
      <c r="IJ133" s="33"/>
      <c r="IK133" s="33"/>
      <c r="IL133" s="33"/>
      <c r="IM133" s="33"/>
      <c r="IN133" s="33"/>
      <c r="IO133" s="33"/>
      <c r="IP133" s="33"/>
      <c r="IQ133" s="33"/>
      <c r="IR133" s="33"/>
      <c r="IS133" s="33"/>
      <c r="IT133" s="33"/>
      <c r="IU133" s="33"/>
      <c r="IV133" s="33"/>
      <c r="IW133" s="33"/>
      <c r="IX133" s="33"/>
      <c r="IY133" s="33"/>
      <c r="IZ133" s="33"/>
      <c r="JA133" s="33"/>
      <c r="JB133" s="33"/>
      <c r="JC133" s="33"/>
      <c r="JD133" s="33"/>
      <c r="JE133" s="33"/>
      <c r="JF133" s="33"/>
      <c r="JG133" s="33"/>
      <c r="JH133" s="33"/>
      <c r="JI133" s="33"/>
      <c r="JJ133" s="33"/>
      <c r="JK133" s="33"/>
      <c r="JL133" s="33"/>
      <c r="JM133" s="33"/>
      <c r="JN133" s="33"/>
      <c r="JO133" s="33"/>
      <c r="JP133" s="33"/>
      <c r="JQ133" s="33"/>
      <c r="JR133" s="33"/>
      <c r="JS133" s="33"/>
      <c r="JT133" s="33"/>
      <c r="JU133" s="33"/>
      <c r="JV133" s="33"/>
      <c r="JW133" s="33"/>
      <c r="JX133" s="33"/>
      <c r="JY133" s="33"/>
      <c r="JZ133" s="33"/>
      <c r="KA133" s="33"/>
      <c r="KB133" s="33"/>
      <c r="KC133" s="33"/>
      <c r="KD133" s="33"/>
      <c r="KE133" s="33"/>
      <c r="KF133" s="33"/>
      <c r="KG133" s="33"/>
    </row>
    <row r="134" spans="1:293" s="20" customFormat="1">
      <c r="A134" s="25"/>
      <c r="B134" s="19">
        <v>530</v>
      </c>
      <c r="C134" s="19">
        <v>40</v>
      </c>
      <c r="D134" s="19">
        <v>4.1386900000000004</v>
      </c>
      <c r="E134" s="26">
        <v>0.11920550000000001</v>
      </c>
      <c r="F134" s="19"/>
      <c r="G134" s="19"/>
      <c r="H134" s="19"/>
      <c r="I134" s="19"/>
      <c r="J134" s="19"/>
      <c r="K134" s="19">
        <v>0</v>
      </c>
      <c r="L134" s="22" t="s">
        <v>31</v>
      </c>
      <c r="M134" s="22" t="s">
        <v>30</v>
      </c>
      <c r="N134" s="24">
        <v>1</v>
      </c>
      <c r="O134" s="20">
        <v>0.96</v>
      </c>
      <c r="P134" s="20">
        <f t="shared" si="47"/>
        <v>1.0416666666666667</v>
      </c>
      <c r="Q134" s="20">
        <f t="shared" si="36"/>
        <v>40</v>
      </c>
      <c r="R134" s="20">
        <f t="shared" si="37"/>
        <v>172.44541666666669</v>
      </c>
      <c r="S134" s="20">
        <f t="shared" si="38"/>
        <v>177.41231250000001</v>
      </c>
      <c r="T134" s="20">
        <f t="shared" si="39"/>
        <v>167.47852083333339</v>
      </c>
      <c r="U134">
        <f t="shared" si="40"/>
        <v>4.9668958333333251</v>
      </c>
      <c r="V134">
        <f t="shared" si="41"/>
        <v>4.9668958333332967</v>
      </c>
      <c r="W134">
        <f t="shared" si="42"/>
        <v>4.9668958333333109</v>
      </c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  <c r="FP134" s="33"/>
      <c r="FQ134" s="33"/>
      <c r="FR134" s="33"/>
      <c r="FS134" s="33"/>
      <c r="FT134" s="33"/>
      <c r="FU134" s="33"/>
      <c r="FV134" s="33"/>
      <c r="FW134" s="33"/>
      <c r="FX134" s="33"/>
      <c r="FY134" s="33"/>
      <c r="FZ134" s="33"/>
      <c r="GA134" s="33"/>
      <c r="GB134" s="33"/>
      <c r="GC134" s="33"/>
      <c r="GD134" s="33"/>
      <c r="GE134" s="33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33"/>
      <c r="GR134" s="33"/>
      <c r="GS134" s="33"/>
      <c r="GT134" s="33"/>
      <c r="GU134" s="33"/>
      <c r="GV134" s="33"/>
      <c r="GW134" s="33"/>
      <c r="GX134" s="33"/>
      <c r="GY134" s="33"/>
      <c r="GZ134" s="33"/>
      <c r="HA134" s="33"/>
      <c r="HB134" s="33"/>
      <c r="HC134" s="33"/>
      <c r="HD134" s="33"/>
      <c r="HE134" s="33"/>
      <c r="HF134" s="33"/>
      <c r="HG134" s="33"/>
      <c r="HH134" s="33"/>
      <c r="HI134" s="33"/>
      <c r="HJ134" s="33"/>
      <c r="HK134" s="33"/>
      <c r="HL134" s="33"/>
      <c r="HM134" s="33"/>
      <c r="HN134" s="33"/>
      <c r="HO134" s="33"/>
      <c r="HP134" s="33"/>
      <c r="HQ134" s="33"/>
      <c r="HR134" s="33"/>
      <c r="HS134" s="33"/>
      <c r="HT134" s="33"/>
      <c r="HU134" s="33"/>
      <c r="HV134" s="33"/>
      <c r="HW134" s="33"/>
      <c r="HX134" s="33"/>
      <c r="HY134" s="33"/>
      <c r="HZ134" s="33"/>
      <c r="IA134" s="33"/>
      <c r="IB134" s="33"/>
      <c r="IC134" s="33"/>
      <c r="ID134" s="33"/>
      <c r="IE134" s="33"/>
      <c r="IF134" s="33"/>
      <c r="IG134" s="33"/>
      <c r="IH134" s="33"/>
      <c r="II134" s="33"/>
      <c r="IJ134" s="33"/>
      <c r="IK134" s="33"/>
      <c r="IL134" s="33"/>
      <c r="IM134" s="33"/>
      <c r="IN134" s="33"/>
      <c r="IO134" s="33"/>
      <c r="IP134" s="33"/>
      <c r="IQ134" s="33"/>
      <c r="IR134" s="33"/>
      <c r="IS134" s="33"/>
      <c r="IT134" s="33"/>
      <c r="IU134" s="33"/>
      <c r="IV134" s="33"/>
      <c r="IW134" s="33"/>
      <c r="IX134" s="33"/>
      <c r="IY134" s="33"/>
      <c r="IZ134" s="33"/>
      <c r="JA134" s="33"/>
      <c r="JB134" s="33"/>
      <c r="JC134" s="33"/>
      <c r="JD134" s="33"/>
      <c r="JE134" s="33"/>
      <c r="JF134" s="33"/>
      <c r="JG134" s="33"/>
      <c r="JH134" s="33"/>
      <c r="JI134" s="33"/>
      <c r="JJ134" s="33"/>
      <c r="JK134" s="33"/>
      <c r="JL134" s="33"/>
      <c r="JM134" s="33"/>
      <c r="JN134" s="33"/>
      <c r="JO134" s="33"/>
      <c r="JP134" s="33"/>
      <c r="JQ134" s="33"/>
      <c r="JR134" s="33"/>
      <c r="JS134" s="33"/>
      <c r="JT134" s="33"/>
      <c r="JU134" s="33"/>
      <c r="JV134" s="33"/>
      <c r="JW134" s="33"/>
      <c r="JX134" s="33"/>
      <c r="JY134" s="33"/>
      <c r="JZ134" s="33"/>
      <c r="KA134" s="33"/>
      <c r="KB134" s="33"/>
      <c r="KC134" s="33"/>
      <c r="KD134" s="33"/>
      <c r="KE134" s="33"/>
      <c r="KF134" s="33"/>
      <c r="KG134" s="33"/>
    </row>
    <row r="135" spans="1:293" s="20" customFormat="1">
      <c r="A135" s="25"/>
      <c r="B135" s="19">
        <v>530</v>
      </c>
      <c r="C135" s="19">
        <v>100</v>
      </c>
      <c r="D135" s="19">
        <v>2.5066229999999998</v>
      </c>
      <c r="E135" s="26">
        <v>5.9602500000000003E-2</v>
      </c>
      <c r="F135" s="19"/>
      <c r="G135" s="19"/>
      <c r="H135" s="19"/>
      <c r="I135" s="19"/>
      <c r="J135" s="19"/>
      <c r="K135" s="19">
        <v>0</v>
      </c>
      <c r="L135" s="22" t="s">
        <v>31</v>
      </c>
      <c r="M135" s="22" t="s">
        <v>30</v>
      </c>
      <c r="N135" s="24">
        <v>1</v>
      </c>
      <c r="O135" s="20">
        <v>0.96</v>
      </c>
      <c r="P135" s="20">
        <f t="shared" si="47"/>
        <v>1.0416666666666667</v>
      </c>
      <c r="Q135" s="20">
        <f t="shared" si="36"/>
        <v>100</v>
      </c>
      <c r="R135" s="20">
        <f t="shared" si="37"/>
        <v>261.1065625</v>
      </c>
      <c r="S135" s="20">
        <f t="shared" si="38"/>
        <v>267.31515625000003</v>
      </c>
      <c r="T135" s="20">
        <f t="shared" si="39"/>
        <v>254.89796874999999</v>
      </c>
      <c r="U135">
        <f t="shared" si="40"/>
        <v>6.2085937500000341</v>
      </c>
      <c r="V135">
        <f t="shared" si="41"/>
        <v>6.2085937500000057</v>
      </c>
      <c r="W135">
        <f t="shared" si="42"/>
        <v>6.2085937500000199</v>
      </c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  <c r="FP135" s="33"/>
      <c r="FQ135" s="33"/>
      <c r="FR135" s="33"/>
      <c r="FS135" s="33"/>
      <c r="FT135" s="33"/>
      <c r="FU135" s="33"/>
      <c r="FV135" s="33"/>
      <c r="FW135" s="33"/>
      <c r="FX135" s="33"/>
      <c r="FY135" s="33"/>
      <c r="FZ135" s="33"/>
      <c r="GA135" s="33"/>
      <c r="GB135" s="33"/>
      <c r="GC135" s="33"/>
      <c r="GD135" s="33"/>
      <c r="GE135" s="33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33"/>
      <c r="GR135" s="33"/>
      <c r="GS135" s="33"/>
      <c r="GT135" s="33"/>
      <c r="GU135" s="33"/>
      <c r="GV135" s="33"/>
      <c r="GW135" s="33"/>
      <c r="GX135" s="33"/>
      <c r="GY135" s="33"/>
      <c r="GZ135" s="33"/>
      <c r="HA135" s="33"/>
      <c r="HB135" s="33"/>
      <c r="HC135" s="33"/>
      <c r="HD135" s="33"/>
      <c r="HE135" s="33"/>
      <c r="HF135" s="33"/>
      <c r="HG135" s="33"/>
      <c r="HH135" s="33"/>
      <c r="HI135" s="33"/>
      <c r="HJ135" s="33"/>
      <c r="HK135" s="33"/>
      <c r="HL135" s="33"/>
      <c r="HM135" s="33"/>
      <c r="HN135" s="33"/>
      <c r="HO135" s="33"/>
      <c r="HP135" s="33"/>
      <c r="HQ135" s="33"/>
      <c r="HR135" s="33"/>
      <c r="HS135" s="33"/>
      <c r="HT135" s="33"/>
      <c r="HU135" s="33"/>
      <c r="HV135" s="33"/>
      <c r="HW135" s="33"/>
      <c r="HX135" s="33"/>
      <c r="HY135" s="33"/>
      <c r="HZ135" s="33"/>
      <c r="IA135" s="33"/>
      <c r="IB135" s="33"/>
      <c r="IC135" s="33"/>
      <c r="ID135" s="33"/>
      <c r="IE135" s="33"/>
      <c r="IF135" s="33"/>
      <c r="IG135" s="33"/>
      <c r="IH135" s="33"/>
      <c r="II135" s="33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  <c r="IW135" s="33"/>
      <c r="IX135" s="33"/>
      <c r="IY135" s="33"/>
      <c r="IZ135" s="33"/>
      <c r="JA135" s="33"/>
      <c r="JB135" s="33"/>
      <c r="JC135" s="33"/>
      <c r="JD135" s="33"/>
      <c r="JE135" s="33"/>
      <c r="JF135" s="33"/>
      <c r="JG135" s="33"/>
      <c r="JH135" s="33"/>
      <c r="JI135" s="33"/>
      <c r="JJ135" s="33"/>
      <c r="JK135" s="33"/>
      <c r="JL135" s="33"/>
      <c r="JM135" s="33"/>
      <c r="JN135" s="33"/>
      <c r="JO135" s="33"/>
      <c r="JP135" s="33"/>
      <c r="JQ135" s="33"/>
      <c r="JR135" s="33"/>
      <c r="JS135" s="33"/>
      <c r="JT135" s="33"/>
      <c r="JU135" s="33"/>
      <c r="JV135" s="33"/>
      <c r="JW135" s="33"/>
      <c r="JX135" s="33"/>
      <c r="JY135" s="33"/>
      <c r="JZ135" s="33"/>
      <c r="KA135" s="33"/>
      <c r="KB135" s="33"/>
      <c r="KC135" s="33"/>
      <c r="KD135" s="33"/>
      <c r="KE135" s="33"/>
      <c r="KF135" s="33"/>
      <c r="KG135" s="33"/>
    </row>
    <row r="136" spans="1:293" s="20" customFormat="1">
      <c r="A136" s="25"/>
      <c r="B136" s="19">
        <v>530</v>
      </c>
      <c r="C136" s="19">
        <v>200</v>
      </c>
      <c r="D136" s="19">
        <v>1.7370129999999999</v>
      </c>
      <c r="E136" s="26">
        <v>0.2085805</v>
      </c>
      <c r="F136" s="19"/>
      <c r="G136" s="19"/>
      <c r="H136" s="19"/>
      <c r="I136" s="19"/>
      <c r="J136" s="19"/>
      <c r="K136" s="19">
        <v>0</v>
      </c>
      <c r="L136" s="22" t="s">
        <v>31</v>
      </c>
      <c r="M136" s="22" t="s">
        <v>30</v>
      </c>
      <c r="N136" s="24">
        <v>1</v>
      </c>
      <c r="O136" s="20">
        <v>0.96</v>
      </c>
      <c r="P136" s="20">
        <f t="shared" si="47"/>
        <v>1.0416666666666667</v>
      </c>
      <c r="Q136" s="20">
        <f t="shared" si="36"/>
        <v>200</v>
      </c>
      <c r="R136" s="20">
        <f t="shared" si="37"/>
        <v>361.87770833333337</v>
      </c>
      <c r="S136" s="20">
        <f t="shared" si="38"/>
        <v>405.33197916666671</v>
      </c>
      <c r="T136" s="20">
        <f t="shared" si="39"/>
        <v>318.42343749999998</v>
      </c>
      <c r="U136">
        <f t="shared" si="40"/>
        <v>43.454270833333339</v>
      </c>
      <c r="V136">
        <f t="shared" si="41"/>
        <v>43.454270833333396</v>
      </c>
      <c r="W136">
        <f t="shared" si="42"/>
        <v>43.454270833333368</v>
      </c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  <c r="FQ136" s="33"/>
      <c r="FR136" s="33"/>
      <c r="FS136" s="33"/>
      <c r="FT136" s="33"/>
      <c r="FU136" s="33"/>
      <c r="FV136" s="33"/>
      <c r="FW136" s="33"/>
      <c r="FX136" s="33"/>
      <c r="FY136" s="33"/>
      <c r="FZ136" s="33"/>
      <c r="GA136" s="33"/>
      <c r="GB136" s="33"/>
      <c r="GC136" s="33"/>
      <c r="GD136" s="33"/>
      <c r="GE136" s="33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33"/>
      <c r="GR136" s="33"/>
      <c r="GS136" s="33"/>
      <c r="GT136" s="33"/>
      <c r="GU136" s="33"/>
      <c r="GV136" s="33"/>
      <c r="GW136" s="33"/>
      <c r="GX136" s="33"/>
      <c r="GY136" s="33"/>
      <c r="GZ136" s="33"/>
      <c r="HA136" s="33"/>
      <c r="HB136" s="33"/>
      <c r="HC136" s="33"/>
      <c r="HD136" s="33"/>
      <c r="HE136" s="33"/>
      <c r="HF136" s="33"/>
      <c r="HG136" s="33"/>
      <c r="HH136" s="33"/>
      <c r="HI136" s="33"/>
      <c r="HJ136" s="33"/>
      <c r="HK136" s="33"/>
      <c r="HL136" s="33"/>
      <c r="HM136" s="33"/>
      <c r="HN136" s="33"/>
      <c r="HO136" s="33"/>
      <c r="HP136" s="33"/>
      <c r="HQ136" s="33"/>
      <c r="HR136" s="33"/>
      <c r="HS136" s="33"/>
      <c r="HT136" s="33"/>
      <c r="HU136" s="33"/>
      <c r="HV136" s="33"/>
      <c r="HW136" s="33"/>
      <c r="HX136" s="33"/>
      <c r="HY136" s="33"/>
      <c r="HZ136" s="33"/>
      <c r="IA136" s="33"/>
      <c r="IB136" s="33"/>
      <c r="IC136" s="33"/>
      <c r="ID136" s="33"/>
      <c r="IE136" s="33"/>
      <c r="IF136" s="33"/>
      <c r="IG136" s="33"/>
      <c r="IH136" s="33"/>
      <c r="II136" s="33"/>
      <c r="IJ136" s="33"/>
      <c r="IK136" s="33"/>
      <c r="IL136" s="33"/>
      <c r="IM136" s="33"/>
      <c r="IN136" s="33"/>
      <c r="IO136" s="33"/>
      <c r="IP136" s="33"/>
      <c r="IQ136" s="33"/>
      <c r="IR136" s="33"/>
      <c r="IS136" s="33"/>
      <c r="IT136" s="33"/>
      <c r="IU136" s="33"/>
      <c r="IV136" s="33"/>
      <c r="IW136" s="33"/>
      <c r="IX136" s="33"/>
      <c r="IY136" s="33"/>
      <c r="IZ136" s="33"/>
      <c r="JA136" s="33"/>
      <c r="JB136" s="33"/>
      <c r="JC136" s="33"/>
      <c r="JD136" s="33"/>
      <c r="JE136" s="33"/>
      <c r="JF136" s="33"/>
      <c r="JG136" s="33"/>
      <c r="JH136" s="33"/>
      <c r="JI136" s="33"/>
      <c r="JJ136" s="33"/>
      <c r="JK136" s="33"/>
      <c r="JL136" s="33"/>
      <c r="JM136" s="33"/>
      <c r="JN136" s="33"/>
      <c r="JO136" s="33"/>
      <c r="JP136" s="33"/>
      <c r="JQ136" s="33"/>
      <c r="JR136" s="33"/>
      <c r="JS136" s="33"/>
      <c r="JT136" s="33"/>
      <c r="JU136" s="33"/>
      <c r="JV136" s="33"/>
      <c r="JW136" s="33"/>
      <c r="JX136" s="33"/>
      <c r="JY136" s="33"/>
      <c r="JZ136" s="33"/>
      <c r="KA136" s="33"/>
      <c r="KB136" s="33"/>
      <c r="KC136" s="33"/>
      <c r="KD136" s="33"/>
      <c r="KE136" s="33"/>
      <c r="KF136" s="33"/>
      <c r="KG136" s="33"/>
    </row>
    <row r="137" spans="1:293">
      <c r="A137" s="1" t="s">
        <v>7</v>
      </c>
      <c r="B137" s="4">
        <v>730</v>
      </c>
      <c r="C137" s="4">
        <v>2</v>
      </c>
      <c r="D137" s="4">
        <v>14.114000000000001</v>
      </c>
      <c r="E137" s="8">
        <f t="shared" ref="E137:E189" si="48">(F137+G137)/2</f>
        <v>2.8542000000000001</v>
      </c>
      <c r="F137" s="4">
        <v>2.7646000000000002</v>
      </c>
      <c r="G137" s="4">
        <v>2.9438</v>
      </c>
      <c r="H137" s="4"/>
      <c r="I137" s="4"/>
      <c r="J137" s="4"/>
      <c r="K137" s="3">
        <v>0</v>
      </c>
      <c r="L137" s="3">
        <v>12</v>
      </c>
      <c r="M137" s="3">
        <f>L137/1.85</f>
        <v>6.486486486486486</v>
      </c>
      <c r="N137" s="15">
        <v>1</v>
      </c>
      <c r="O137">
        <f t="shared" ref="O137:O200" si="49">-0.03754*M137^2+0.5266*M137-0.84645</f>
        <v>0.98985679327976628</v>
      </c>
      <c r="P137">
        <f t="shared" si="47"/>
        <v>1.0102471456367192</v>
      </c>
      <c r="Q137">
        <f t="shared" si="36"/>
        <v>2</v>
      </c>
      <c r="R137">
        <f t="shared" si="37"/>
        <v>28.517256427033313</v>
      </c>
      <c r="S137">
        <f t="shared" si="38"/>
        <v>34.284151233185959</v>
      </c>
      <c r="T137">
        <f t="shared" si="39"/>
        <v>22.750361620880664</v>
      </c>
      <c r="U137">
        <f t="shared" si="40"/>
        <v>5.7668948061526457</v>
      </c>
      <c r="V137">
        <f t="shared" si="41"/>
        <v>5.7668948061526493</v>
      </c>
      <c r="W137">
        <f t="shared" si="42"/>
        <v>5.7668948061526475</v>
      </c>
    </row>
    <row r="138" spans="1:293">
      <c r="A138" s="65" t="s">
        <v>72</v>
      </c>
      <c r="B138" s="4">
        <v>730</v>
      </c>
      <c r="C138" s="4">
        <v>5</v>
      </c>
      <c r="D138" s="4">
        <v>7.7035</v>
      </c>
      <c r="E138" s="8">
        <f t="shared" si="48"/>
        <v>0.73301499999999997</v>
      </c>
      <c r="F138" s="4">
        <v>0.66300999999999999</v>
      </c>
      <c r="G138" s="4">
        <v>0.80301999999999996</v>
      </c>
      <c r="H138" s="4"/>
      <c r="I138" s="4"/>
      <c r="J138" s="4"/>
      <c r="K138" s="3">
        <v>0</v>
      </c>
      <c r="L138" s="3">
        <v>12</v>
      </c>
      <c r="M138" s="3">
        <f t="shared" ref="M138:M201" si="50">L138/1.85</f>
        <v>6.486486486486486</v>
      </c>
      <c r="N138" s="15">
        <v>1</v>
      </c>
      <c r="O138">
        <f t="shared" si="49"/>
        <v>0.98985679327976628</v>
      </c>
      <c r="P138">
        <f t="shared" si="47"/>
        <v>1.0102471456367192</v>
      </c>
      <c r="Q138">
        <f t="shared" si="36"/>
        <v>5</v>
      </c>
      <c r="R138">
        <f t="shared" si="37"/>
        <v>38.912194432062329</v>
      </c>
      <c r="S138">
        <f t="shared" si="38"/>
        <v>42.614825989356831</v>
      </c>
      <c r="T138">
        <f t="shared" si="39"/>
        <v>35.209562874767833</v>
      </c>
      <c r="U138">
        <f t="shared" si="40"/>
        <v>3.7026315572945023</v>
      </c>
      <c r="V138">
        <f t="shared" si="41"/>
        <v>3.7026315572944952</v>
      </c>
      <c r="W138">
        <f t="shared" si="42"/>
        <v>3.7026315572944988</v>
      </c>
    </row>
    <row r="139" spans="1:293">
      <c r="A139" s="9"/>
      <c r="B139" s="4">
        <v>730</v>
      </c>
      <c r="C139" s="4">
        <v>10</v>
      </c>
      <c r="D139" s="4">
        <v>5.8234000000000004</v>
      </c>
      <c r="E139" s="8">
        <f t="shared" si="48"/>
        <v>0.45039000000000001</v>
      </c>
      <c r="F139" s="4">
        <v>0.41476000000000002</v>
      </c>
      <c r="G139" s="4">
        <v>0.48602000000000001</v>
      </c>
      <c r="H139" s="4"/>
      <c r="I139" s="4"/>
      <c r="J139" s="4"/>
      <c r="K139" s="3">
        <v>0</v>
      </c>
      <c r="L139" s="3">
        <v>12</v>
      </c>
      <c r="M139" s="3">
        <f t="shared" si="50"/>
        <v>6.486486486486486</v>
      </c>
      <c r="N139" s="15">
        <v>1</v>
      </c>
      <c r="O139">
        <f t="shared" si="49"/>
        <v>0.98985679327976628</v>
      </c>
      <c r="P139">
        <f t="shared" si="47"/>
        <v>1.0102471456367192</v>
      </c>
      <c r="Q139">
        <f t="shared" si="36"/>
        <v>10</v>
      </c>
      <c r="R139">
        <f t="shared" si="37"/>
        <v>58.830732279008707</v>
      </c>
      <c r="S139">
        <f t="shared" si="38"/>
        <v>63.380784398241921</v>
      </c>
      <c r="T139">
        <f t="shared" si="39"/>
        <v>54.280680159775493</v>
      </c>
      <c r="U139">
        <f t="shared" si="40"/>
        <v>4.5500521192332144</v>
      </c>
      <c r="V139">
        <f t="shared" si="41"/>
        <v>4.5500521192332144</v>
      </c>
      <c r="W139">
        <f t="shared" si="42"/>
        <v>4.5500521192332144</v>
      </c>
    </row>
    <row r="140" spans="1:293">
      <c r="A140" s="9"/>
      <c r="B140" s="4">
        <v>730</v>
      </c>
      <c r="C140" s="4">
        <v>15</v>
      </c>
      <c r="D140" s="4">
        <v>5.5368000000000004</v>
      </c>
      <c r="E140" s="8">
        <f t="shared" si="48"/>
        <v>0.54315500000000005</v>
      </c>
      <c r="F140" s="4">
        <v>0.53195000000000003</v>
      </c>
      <c r="G140" s="4">
        <v>0.55435999999999996</v>
      </c>
      <c r="H140" s="4"/>
      <c r="I140" s="4"/>
      <c r="J140" s="4"/>
      <c r="K140" s="3">
        <v>0</v>
      </c>
      <c r="L140" s="3">
        <v>12</v>
      </c>
      <c r="M140" s="3">
        <f t="shared" si="50"/>
        <v>6.486486486486486</v>
      </c>
      <c r="N140" s="15">
        <v>1</v>
      </c>
      <c r="O140">
        <f t="shared" si="49"/>
        <v>0.98985679327976628</v>
      </c>
      <c r="P140">
        <f t="shared" si="47"/>
        <v>1.0102471456367192</v>
      </c>
      <c r="Q140">
        <f t="shared" si="36"/>
        <v>15</v>
      </c>
      <c r="R140">
        <f t="shared" si="37"/>
        <v>83.903045939420807</v>
      </c>
      <c r="S140">
        <f t="shared" si="38"/>
        <v>92.133857765245494</v>
      </c>
      <c r="T140">
        <f t="shared" si="39"/>
        <v>75.672234113596133</v>
      </c>
      <c r="U140">
        <f t="shared" si="40"/>
        <v>8.2308118258246878</v>
      </c>
      <c r="V140">
        <f t="shared" si="41"/>
        <v>8.2308118258246736</v>
      </c>
      <c r="W140">
        <f t="shared" si="42"/>
        <v>8.2308118258246807</v>
      </c>
    </row>
    <row r="141" spans="1:293">
      <c r="A141" s="9"/>
      <c r="B141" s="4">
        <v>730</v>
      </c>
      <c r="C141" s="4">
        <v>25</v>
      </c>
      <c r="D141" s="4">
        <v>4.8695000000000004</v>
      </c>
      <c r="E141" s="8">
        <f t="shared" si="48"/>
        <v>0.23515</v>
      </c>
      <c r="F141" s="4">
        <v>0.25198999999999999</v>
      </c>
      <c r="G141" s="4">
        <v>0.21831</v>
      </c>
      <c r="H141" s="4"/>
      <c r="I141" s="4"/>
      <c r="J141" s="4"/>
      <c r="K141" s="3">
        <v>0</v>
      </c>
      <c r="L141" s="3">
        <v>12</v>
      </c>
      <c r="M141" s="3">
        <f t="shared" si="50"/>
        <v>6.486486486486486</v>
      </c>
      <c r="N141" s="15">
        <v>1</v>
      </c>
      <c r="O141">
        <f t="shared" si="49"/>
        <v>0.98985679327976628</v>
      </c>
      <c r="P141">
        <f t="shared" si="47"/>
        <v>1.0102471456367192</v>
      </c>
      <c r="Q141">
        <f t="shared" si="36"/>
        <v>25</v>
      </c>
      <c r="R141">
        <f t="shared" si="37"/>
        <v>122.98496189195012</v>
      </c>
      <c r="S141">
        <f t="shared" si="38"/>
        <v>128.92395229936199</v>
      </c>
      <c r="T141">
        <f t="shared" si="39"/>
        <v>117.04597148453826</v>
      </c>
      <c r="U141">
        <f t="shared" si="40"/>
        <v>5.9389904074118647</v>
      </c>
      <c r="V141">
        <f t="shared" si="41"/>
        <v>5.9389904074118647</v>
      </c>
      <c r="W141">
        <f t="shared" si="42"/>
        <v>5.9389904074118647</v>
      </c>
    </row>
    <row r="142" spans="1:293">
      <c r="A142" s="9"/>
      <c r="B142" s="4">
        <v>730</v>
      </c>
      <c r="C142" s="4">
        <v>50</v>
      </c>
      <c r="D142" s="4">
        <v>3.6642000000000001</v>
      </c>
      <c r="E142" s="8">
        <f t="shared" si="48"/>
        <v>0.21862000000000001</v>
      </c>
      <c r="F142" s="4">
        <v>0.22514000000000001</v>
      </c>
      <c r="G142" s="4">
        <v>0.21210000000000001</v>
      </c>
      <c r="H142" s="4"/>
      <c r="I142" s="4"/>
      <c r="J142" s="4"/>
      <c r="K142" s="3">
        <v>0</v>
      </c>
      <c r="L142" s="3">
        <v>12</v>
      </c>
      <c r="M142" s="3">
        <f t="shared" si="50"/>
        <v>6.486486486486486</v>
      </c>
      <c r="N142" s="15">
        <v>1</v>
      </c>
      <c r="O142">
        <f t="shared" si="49"/>
        <v>0.98985679327976628</v>
      </c>
      <c r="P142">
        <f t="shared" si="47"/>
        <v>1.0102471456367192</v>
      </c>
      <c r="Q142">
        <f t="shared" si="36"/>
        <v>50</v>
      </c>
      <c r="R142">
        <f t="shared" si="37"/>
        <v>185.08737955210333</v>
      </c>
      <c r="S142">
        <f t="shared" si="38"/>
        <v>196.13039110105834</v>
      </c>
      <c r="T142">
        <f t="shared" si="39"/>
        <v>174.04436800314835</v>
      </c>
      <c r="U142">
        <f t="shared" si="40"/>
        <v>11.043011548955008</v>
      </c>
      <c r="V142">
        <f t="shared" si="41"/>
        <v>11.043011548954979</v>
      </c>
      <c r="W142">
        <f t="shared" si="42"/>
        <v>11.043011548954993</v>
      </c>
    </row>
    <row r="143" spans="1:293">
      <c r="A143" s="9"/>
      <c r="B143" s="4">
        <v>730</v>
      </c>
      <c r="C143" s="4">
        <v>100</v>
      </c>
      <c r="D143" s="4">
        <v>2.5387</v>
      </c>
      <c r="E143" s="8">
        <f t="shared" si="48"/>
        <v>0.18023</v>
      </c>
      <c r="F143" s="4">
        <v>0.18082000000000001</v>
      </c>
      <c r="G143" s="4">
        <v>0.17963999999999999</v>
      </c>
      <c r="H143" s="4"/>
      <c r="I143" s="4"/>
      <c r="J143" s="4"/>
      <c r="K143" s="3">
        <v>0</v>
      </c>
      <c r="L143" s="3">
        <v>12</v>
      </c>
      <c r="M143" s="3">
        <f t="shared" si="50"/>
        <v>6.486486486486486</v>
      </c>
      <c r="N143" s="15">
        <v>1</v>
      </c>
      <c r="O143">
        <f t="shared" si="49"/>
        <v>0.98985679327976628</v>
      </c>
      <c r="P143">
        <f t="shared" si="47"/>
        <v>1.0102471456367192</v>
      </c>
      <c r="Q143">
        <f t="shared" si="36"/>
        <v>100</v>
      </c>
      <c r="R143">
        <f t="shared" si="37"/>
        <v>256.47144286279394</v>
      </c>
      <c r="S143">
        <f t="shared" si="38"/>
        <v>274.67912716860445</v>
      </c>
      <c r="T143">
        <f t="shared" si="39"/>
        <v>238.26375855698333</v>
      </c>
      <c r="U143">
        <f t="shared" si="40"/>
        <v>18.207684305810517</v>
      </c>
      <c r="V143">
        <f t="shared" si="41"/>
        <v>18.207684305810602</v>
      </c>
      <c r="W143">
        <f t="shared" si="42"/>
        <v>18.20768430581056</v>
      </c>
    </row>
    <row r="144" spans="1:293" s="20" customFormat="1">
      <c r="A144" s="18" t="s">
        <v>8</v>
      </c>
      <c r="B144" s="19">
        <v>730</v>
      </c>
      <c r="C144" s="19">
        <v>5.7</v>
      </c>
      <c r="D144" s="19">
        <v>6.1811999999999996</v>
      </c>
      <c r="E144" s="21">
        <f t="shared" si="48"/>
        <v>0.21317000000000003</v>
      </c>
      <c r="F144" s="19">
        <v>0.23103000000000001</v>
      </c>
      <c r="G144" s="19">
        <v>0.19531000000000001</v>
      </c>
      <c r="H144" s="19"/>
      <c r="I144" s="19"/>
      <c r="J144" s="19"/>
      <c r="K144" s="19">
        <v>0</v>
      </c>
      <c r="L144" s="19">
        <v>12</v>
      </c>
      <c r="M144" s="19">
        <f t="shared" si="50"/>
        <v>6.486486486486486</v>
      </c>
      <c r="N144" s="24">
        <v>1</v>
      </c>
      <c r="O144" s="20">
        <f t="shared" si="49"/>
        <v>0.98985679327976628</v>
      </c>
      <c r="P144" s="20">
        <f t="shared" si="47"/>
        <v>1.0102471456367192</v>
      </c>
      <c r="Q144" s="20">
        <f t="shared" si="36"/>
        <v>5.7</v>
      </c>
      <c r="R144" s="20">
        <f t="shared" si="37"/>
        <v>35.593876042675227</v>
      </c>
      <c r="S144" s="20">
        <f t="shared" si="38"/>
        <v>36.821396031676883</v>
      </c>
      <c r="T144" s="20">
        <f t="shared" si="39"/>
        <v>34.366356053673563</v>
      </c>
      <c r="U144">
        <f t="shared" si="40"/>
        <v>1.2275199890016566</v>
      </c>
      <c r="V144">
        <f t="shared" si="41"/>
        <v>1.2275199890016637</v>
      </c>
      <c r="W144">
        <f t="shared" si="42"/>
        <v>1.2275199890016602</v>
      </c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  <c r="FQ144" s="33"/>
      <c r="FR144" s="33"/>
      <c r="FS144" s="33"/>
      <c r="FT144" s="33"/>
      <c r="FU144" s="33"/>
      <c r="FV144" s="33"/>
      <c r="FW144" s="33"/>
      <c r="FX144" s="33"/>
      <c r="FY144" s="33"/>
      <c r="FZ144" s="33"/>
      <c r="GA144" s="33"/>
      <c r="GB144" s="33"/>
      <c r="GC144" s="33"/>
      <c r="GD144" s="33"/>
      <c r="GE144" s="33"/>
      <c r="GF144" s="33"/>
      <c r="GG144" s="33"/>
      <c r="GH144" s="33"/>
      <c r="GI144" s="33"/>
      <c r="GJ144" s="33"/>
      <c r="GK144" s="33"/>
      <c r="GL144" s="33"/>
      <c r="GM144" s="33"/>
      <c r="GN144" s="33"/>
      <c r="GO144" s="33"/>
      <c r="GP144" s="33"/>
      <c r="GQ144" s="33"/>
      <c r="GR144" s="33"/>
      <c r="GS144" s="33"/>
      <c r="GT144" s="33"/>
      <c r="GU144" s="33"/>
      <c r="GV144" s="33"/>
      <c r="GW144" s="33"/>
      <c r="GX144" s="33"/>
      <c r="GY144" s="33"/>
      <c r="GZ144" s="33"/>
      <c r="HA144" s="33"/>
      <c r="HB144" s="33"/>
      <c r="HC144" s="33"/>
      <c r="HD144" s="33"/>
      <c r="HE144" s="33"/>
      <c r="HF144" s="33"/>
      <c r="HG144" s="33"/>
      <c r="HH144" s="33"/>
      <c r="HI144" s="33"/>
      <c r="HJ144" s="33"/>
      <c r="HK144" s="33"/>
      <c r="HL144" s="33"/>
      <c r="HM144" s="33"/>
      <c r="HN144" s="33"/>
      <c r="HO144" s="33"/>
      <c r="HP144" s="33"/>
      <c r="HQ144" s="33"/>
      <c r="HR144" s="33"/>
      <c r="HS144" s="33"/>
      <c r="HT144" s="33"/>
      <c r="HU144" s="33"/>
      <c r="HV144" s="33"/>
      <c r="HW144" s="33"/>
      <c r="HX144" s="33"/>
      <c r="HY144" s="33"/>
      <c r="HZ144" s="33"/>
      <c r="IA144" s="33"/>
      <c r="IB144" s="33"/>
      <c r="IC144" s="33"/>
      <c r="ID144" s="33"/>
      <c r="IE144" s="33"/>
      <c r="IF144" s="33"/>
      <c r="IG144" s="33"/>
      <c r="IH144" s="33"/>
      <c r="II144" s="33"/>
      <c r="IJ144" s="33"/>
      <c r="IK144" s="33"/>
      <c r="IL144" s="33"/>
      <c r="IM144" s="33"/>
      <c r="IN144" s="33"/>
      <c r="IO144" s="33"/>
      <c r="IP144" s="33"/>
      <c r="IQ144" s="33"/>
      <c r="IR144" s="33"/>
      <c r="IS144" s="33"/>
      <c r="IT144" s="33"/>
      <c r="IU144" s="33"/>
      <c r="IV144" s="33"/>
      <c r="IW144" s="33"/>
      <c r="IX144" s="33"/>
      <c r="IY144" s="33"/>
      <c r="IZ144" s="33"/>
      <c r="JA144" s="33"/>
      <c r="JB144" s="33"/>
      <c r="JC144" s="33"/>
      <c r="JD144" s="33"/>
      <c r="JE144" s="33"/>
      <c r="JF144" s="33"/>
      <c r="JG144" s="33"/>
      <c r="JH144" s="33"/>
      <c r="JI144" s="33"/>
      <c r="JJ144" s="33"/>
      <c r="JK144" s="33"/>
      <c r="JL144" s="33"/>
      <c r="JM144" s="33"/>
      <c r="JN144" s="33"/>
      <c r="JO144" s="33"/>
      <c r="JP144" s="33"/>
      <c r="JQ144" s="33"/>
      <c r="JR144" s="33"/>
      <c r="JS144" s="33"/>
      <c r="JT144" s="33"/>
      <c r="JU144" s="33"/>
      <c r="JV144" s="33"/>
      <c r="JW144" s="33"/>
      <c r="JX144" s="33"/>
      <c r="JY144" s="33"/>
      <c r="JZ144" s="33"/>
      <c r="KA144" s="33"/>
      <c r="KB144" s="33"/>
      <c r="KC144" s="33"/>
      <c r="KD144" s="33"/>
      <c r="KE144" s="33"/>
      <c r="KF144" s="33"/>
      <c r="KG144" s="33"/>
    </row>
    <row r="145" spans="1:293" s="20" customFormat="1">
      <c r="A145" s="65" t="s">
        <v>75</v>
      </c>
      <c r="B145" s="19">
        <v>730</v>
      </c>
      <c r="C145" s="19">
        <v>9.6</v>
      </c>
      <c r="D145" s="19">
        <v>5.5622999999999996</v>
      </c>
      <c r="E145" s="21">
        <f t="shared" si="48"/>
        <v>0.21543000000000001</v>
      </c>
      <c r="F145" s="19">
        <v>0.18149000000000001</v>
      </c>
      <c r="G145" s="19">
        <v>0.24937000000000001</v>
      </c>
      <c r="H145" s="19"/>
      <c r="I145" s="19"/>
      <c r="J145" s="19"/>
      <c r="K145" s="19">
        <v>0</v>
      </c>
      <c r="L145" s="19">
        <v>12</v>
      </c>
      <c r="M145" s="19">
        <f t="shared" si="50"/>
        <v>6.486486486486486</v>
      </c>
      <c r="N145" s="24">
        <v>1</v>
      </c>
      <c r="O145" s="20">
        <f t="shared" si="49"/>
        <v>0.98985679327976628</v>
      </c>
      <c r="P145" s="20">
        <f t="shared" si="47"/>
        <v>1.0102471456367192</v>
      </c>
      <c r="Q145" s="20">
        <f t="shared" ref="Q145:Q208" si="51">C145</f>
        <v>9.6</v>
      </c>
      <c r="R145" s="20">
        <f t="shared" si="37"/>
        <v>53.945257902481181</v>
      </c>
      <c r="S145" s="20">
        <f t="shared" si="38"/>
        <v>56.034578311292563</v>
      </c>
      <c r="T145" s="20">
        <f t="shared" si="39"/>
        <v>51.855937493669799</v>
      </c>
      <c r="U145">
        <f t="shared" si="40"/>
        <v>2.0893204088113819</v>
      </c>
      <c r="V145">
        <f t="shared" si="41"/>
        <v>2.0893204088113819</v>
      </c>
      <c r="W145">
        <f t="shared" si="42"/>
        <v>2.0893204088113819</v>
      </c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  <c r="FQ145" s="33"/>
      <c r="FR145" s="33"/>
      <c r="FS145" s="33"/>
      <c r="FT145" s="33"/>
      <c r="FU145" s="33"/>
      <c r="FV145" s="33"/>
      <c r="FW145" s="33"/>
      <c r="FX145" s="33"/>
      <c r="FY145" s="33"/>
      <c r="FZ145" s="33"/>
      <c r="GA145" s="33"/>
      <c r="GB145" s="33"/>
      <c r="GC145" s="33"/>
      <c r="GD145" s="33"/>
      <c r="GE145" s="33"/>
      <c r="GF145" s="33"/>
      <c r="GG145" s="33"/>
      <c r="GH145" s="33"/>
      <c r="GI145" s="33"/>
      <c r="GJ145" s="33"/>
      <c r="GK145" s="33"/>
      <c r="GL145" s="33"/>
      <c r="GM145" s="33"/>
      <c r="GN145" s="33"/>
      <c r="GO145" s="33"/>
      <c r="GP145" s="33"/>
      <c r="GQ145" s="33"/>
      <c r="GR145" s="33"/>
      <c r="GS145" s="33"/>
      <c r="GT145" s="33"/>
      <c r="GU145" s="33"/>
      <c r="GV145" s="33"/>
      <c r="GW145" s="33"/>
      <c r="GX145" s="33"/>
      <c r="GY145" s="33"/>
      <c r="GZ145" s="33"/>
      <c r="HA145" s="33"/>
      <c r="HB145" s="33"/>
      <c r="HC145" s="33"/>
      <c r="HD145" s="33"/>
      <c r="HE145" s="33"/>
      <c r="HF145" s="33"/>
      <c r="HG145" s="33"/>
      <c r="HH145" s="33"/>
      <c r="HI145" s="33"/>
      <c r="HJ145" s="33"/>
      <c r="HK145" s="33"/>
      <c r="HL145" s="33"/>
      <c r="HM145" s="33"/>
      <c r="HN145" s="33"/>
      <c r="HO145" s="33"/>
      <c r="HP145" s="33"/>
      <c r="HQ145" s="33"/>
      <c r="HR145" s="33"/>
      <c r="HS145" s="33"/>
      <c r="HT145" s="33"/>
      <c r="HU145" s="33"/>
      <c r="HV145" s="33"/>
      <c r="HW145" s="33"/>
      <c r="HX145" s="33"/>
      <c r="HY145" s="33"/>
      <c r="HZ145" s="33"/>
      <c r="IA145" s="33"/>
      <c r="IB145" s="33"/>
      <c r="IC145" s="33"/>
      <c r="ID145" s="33"/>
      <c r="IE145" s="33"/>
      <c r="IF145" s="33"/>
      <c r="IG145" s="33"/>
      <c r="IH145" s="33"/>
      <c r="II145" s="33"/>
      <c r="IJ145" s="33"/>
      <c r="IK145" s="33"/>
      <c r="IL145" s="33"/>
      <c r="IM145" s="33"/>
      <c r="IN145" s="33"/>
      <c r="IO145" s="33"/>
      <c r="IP145" s="33"/>
      <c r="IQ145" s="33"/>
      <c r="IR145" s="33"/>
      <c r="IS145" s="33"/>
      <c r="IT145" s="33"/>
      <c r="IU145" s="33"/>
      <c r="IV145" s="33"/>
      <c r="IW145" s="33"/>
      <c r="IX145" s="33"/>
      <c r="IY145" s="33"/>
      <c r="IZ145" s="33"/>
      <c r="JA145" s="33"/>
      <c r="JB145" s="33"/>
      <c r="JC145" s="33"/>
      <c r="JD145" s="33"/>
      <c r="JE145" s="33"/>
      <c r="JF145" s="33"/>
      <c r="JG145" s="33"/>
      <c r="JH145" s="33"/>
      <c r="JI145" s="33"/>
      <c r="JJ145" s="33"/>
      <c r="JK145" s="33"/>
      <c r="JL145" s="33"/>
      <c r="JM145" s="33"/>
      <c r="JN145" s="33"/>
      <c r="JO145" s="33"/>
      <c r="JP145" s="33"/>
      <c r="JQ145" s="33"/>
      <c r="JR145" s="33"/>
      <c r="JS145" s="33"/>
      <c r="JT145" s="33"/>
      <c r="JU145" s="33"/>
      <c r="JV145" s="33"/>
      <c r="JW145" s="33"/>
      <c r="JX145" s="33"/>
      <c r="JY145" s="33"/>
      <c r="JZ145" s="33"/>
      <c r="KA145" s="33"/>
      <c r="KB145" s="33"/>
      <c r="KC145" s="33"/>
      <c r="KD145" s="33"/>
      <c r="KE145" s="33"/>
      <c r="KF145" s="33"/>
      <c r="KG145" s="33"/>
    </row>
    <row r="146" spans="1:293" s="20" customFormat="1">
      <c r="A146" s="25" t="s">
        <v>73</v>
      </c>
      <c r="B146" s="19">
        <v>730</v>
      </c>
      <c r="C146" s="19">
        <v>14.253</v>
      </c>
      <c r="D146" s="19">
        <v>5.3129</v>
      </c>
      <c r="E146" s="21">
        <f t="shared" si="48"/>
        <v>0.21939</v>
      </c>
      <c r="F146" s="19">
        <v>0.22392000000000001</v>
      </c>
      <c r="G146" s="19">
        <v>0.21486</v>
      </c>
      <c r="H146" s="19"/>
      <c r="I146" s="19"/>
      <c r="J146" s="19"/>
      <c r="K146" s="19">
        <v>0</v>
      </c>
      <c r="L146" s="19">
        <v>12</v>
      </c>
      <c r="M146" s="19">
        <f t="shared" si="50"/>
        <v>6.486486486486486</v>
      </c>
      <c r="N146" s="24">
        <v>1</v>
      </c>
      <c r="O146" s="20">
        <f t="shared" si="49"/>
        <v>0.98985679327976628</v>
      </c>
      <c r="P146" s="20">
        <f t="shared" si="47"/>
        <v>1.0102471456367192</v>
      </c>
      <c r="Q146" s="20">
        <f t="shared" si="51"/>
        <v>14.253</v>
      </c>
      <c r="R146" s="20">
        <f t="shared" si="37"/>
        <v>76.500726381940041</v>
      </c>
      <c r="S146" s="20">
        <f t="shared" si="38"/>
        <v>79.659734524561557</v>
      </c>
      <c r="T146" s="20">
        <f t="shared" si="39"/>
        <v>73.341718239318553</v>
      </c>
      <c r="U146">
        <f t="shared" si="40"/>
        <v>3.1590081426215164</v>
      </c>
      <c r="V146">
        <f t="shared" si="41"/>
        <v>3.159008142621488</v>
      </c>
      <c r="W146">
        <f t="shared" si="42"/>
        <v>3.1590081426215022</v>
      </c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  <c r="FP146" s="33"/>
      <c r="FQ146" s="33"/>
      <c r="FR146" s="33"/>
      <c r="FS146" s="33"/>
      <c r="FT146" s="33"/>
      <c r="FU146" s="33"/>
      <c r="FV146" s="33"/>
      <c r="FW146" s="33"/>
      <c r="FX146" s="33"/>
      <c r="FY146" s="33"/>
      <c r="FZ146" s="33"/>
      <c r="GA146" s="33"/>
      <c r="GB146" s="33"/>
      <c r="GC146" s="33"/>
      <c r="GD146" s="33"/>
      <c r="GE146" s="33"/>
      <c r="GF146" s="33"/>
      <c r="GG146" s="33"/>
      <c r="GH146" s="33"/>
      <c r="GI146" s="33"/>
      <c r="GJ146" s="33"/>
      <c r="GK146" s="33"/>
      <c r="GL146" s="33"/>
      <c r="GM146" s="33"/>
      <c r="GN146" s="33"/>
      <c r="GO146" s="33"/>
      <c r="GP146" s="33"/>
      <c r="GQ146" s="33"/>
      <c r="GR146" s="33"/>
      <c r="GS146" s="33"/>
      <c r="GT146" s="33"/>
      <c r="GU146" s="33"/>
      <c r="GV146" s="33"/>
      <c r="GW146" s="33"/>
      <c r="GX146" s="33"/>
      <c r="GY146" s="33"/>
      <c r="GZ146" s="33"/>
      <c r="HA146" s="33"/>
      <c r="HB146" s="33"/>
      <c r="HC146" s="33"/>
      <c r="HD146" s="33"/>
      <c r="HE146" s="33"/>
      <c r="HF146" s="33"/>
      <c r="HG146" s="33"/>
      <c r="HH146" s="33"/>
      <c r="HI146" s="33"/>
      <c r="HJ146" s="33"/>
      <c r="HK146" s="33"/>
      <c r="HL146" s="33"/>
      <c r="HM146" s="33"/>
      <c r="HN146" s="33"/>
      <c r="HO146" s="33"/>
      <c r="HP146" s="33"/>
      <c r="HQ146" s="33"/>
      <c r="HR146" s="33"/>
      <c r="HS146" s="33"/>
      <c r="HT146" s="33"/>
      <c r="HU146" s="33"/>
      <c r="HV146" s="33"/>
      <c r="HW146" s="33"/>
      <c r="HX146" s="33"/>
      <c r="HY146" s="33"/>
      <c r="HZ146" s="33"/>
      <c r="IA146" s="33"/>
      <c r="IB146" s="33"/>
      <c r="IC146" s="33"/>
      <c r="ID146" s="33"/>
      <c r="IE146" s="33"/>
      <c r="IF146" s="33"/>
      <c r="IG146" s="33"/>
      <c r="IH146" s="33"/>
      <c r="II146" s="33"/>
      <c r="IJ146" s="33"/>
      <c r="IK146" s="33"/>
      <c r="IL146" s="33"/>
      <c r="IM146" s="33"/>
      <c r="IN146" s="33"/>
      <c r="IO146" s="33"/>
      <c r="IP146" s="33"/>
      <c r="IQ146" s="33"/>
      <c r="IR146" s="33"/>
      <c r="IS146" s="33"/>
      <c r="IT146" s="33"/>
      <c r="IU146" s="33"/>
      <c r="IV146" s="33"/>
      <c r="IW146" s="33"/>
      <c r="IX146" s="33"/>
      <c r="IY146" s="33"/>
      <c r="IZ146" s="33"/>
      <c r="JA146" s="33"/>
      <c r="JB146" s="33"/>
      <c r="JC146" s="33"/>
      <c r="JD146" s="33"/>
      <c r="JE146" s="33"/>
      <c r="JF146" s="33"/>
      <c r="JG146" s="33"/>
      <c r="JH146" s="33"/>
      <c r="JI146" s="33"/>
      <c r="JJ146" s="33"/>
      <c r="JK146" s="33"/>
      <c r="JL146" s="33"/>
      <c r="JM146" s="33"/>
      <c r="JN146" s="33"/>
      <c r="JO146" s="33"/>
      <c r="JP146" s="33"/>
      <c r="JQ146" s="33"/>
      <c r="JR146" s="33"/>
      <c r="JS146" s="33"/>
      <c r="JT146" s="33"/>
      <c r="JU146" s="33"/>
      <c r="JV146" s="33"/>
      <c r="JW146" s="33"/>
      <c r="JX146" s="33"/>
      <c r="JY146" s="33"/>
      <c r="JZ146" s="33"/>
      <c r="KA146" s="33"/>
      <c r="KB146" s="33"/>
      <c r="KC146" s="33"/>
      <c r="KD146" s="33"/>
      <c r="KE146" s="33"/>
      <c r="KF146" s="33"/>
      <c r="KG146" s="33"/>
    </row>
    <row r="147" spans="1:293" s="20" customFormat="1">
      <c r="A147" s="25"/>
      <c r="B147" s="19">
        <v>730</v>
      </c>
      <c r="C147" s="19">
        <v>18.577000000000002</v>
      </c>
      <c r="D147" s="19">
        <v>5.3372999999999999</v>
      </c>
      <c r="E147" s="21">
        <f t="shared" si="48"/>
        <v>0.23105500000000001</v>
      </c>
      <c r="F147" s="19">
        <v>0.19949</v>
      </c>
      <c r="G147" s="19">
        <v>0.26262000000000002</v>
      </c>
      <c r="H147" s="19"/>
      <c r="I147" s="19"/>
      <c r="J147" s="19"/>
      <c r="K147" s="19">
        <v>0</v>
      </c>
      <c r="L147" s="19">
        <v>12</v>
      </c>
      <c r="M147" s="19">
        <f t="shared" si="50"/>
        <v>6.486486486486486</v>
      </c>
      <c r="N147" s="24">
        <v>1</v>
      </c>
      <c r="O147" s="20">
        <f t="shared" si="49"/>
        <v>0.98985679327976628</v>
      </c>
      <c r="P147" s="20">
        <f t="shared" si="47"/>
        <v>1.0102471456367192</v>
      </c>
      <c r="Q147" s="20">
        <f t="shared" si="51"/>
        <v>18.577000000000002</v>
      </c>
      <c r="R147" s="20">
        <f t="shared" si="37"/>
        <v>100.16703706348828</v>
      </c>
      <c r="S147" s="20">
        <f t="shared" si="38"/>
        <v>104.50332971121358</v>
      </c>
      <c r="T147" s="20">
        <f t="shared" si="39"/>
        <v>95.830744415762965</v>
      </c>
      <c r="U147">
        <f t="shared" si="40"/>
        <v>4.3362926477253012</v>
      </c>
      <c r="V147">
        <f t="shared" si="41"/>
        <v>4.3362926477253154</v>
      </c>
      <c r="W147">
        <f t="shared" si="42"/>
        <v>4.3362926477253083</v>
      </c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  <c r="FP147" s="33"/>
      <c r="FQ147" s="33"/>
      <c r="FR147" s="33"/>
      <c r="FS147" s="33"/>
      <c r="FT147" s="33"/>
      <c r="FU147" s="33"/>
      <c r="FV147" s="33"/>
      <c r="FW147" s="33"/>
      <c r="FX147" s="33"/>
      <c r="FY147" s="33"/>
      <c r="FZ147" s="33"/>
      <c r="GA147" s="33"/>
      <c r="GB147" s="33"/>
      <c r="GC147" s="33"/>
      <c r="GD147" s="33"/>
      <c r="GE147" s="33"/>
      <c r="GF147" s="33"/>
      <c r="GG147" s="33"/>
      <c r="GH147" s="33"/>
      <c r="GI147" s="33"/>
      <c r="GJ147" s="33"/>
      <c r="GK147" s="33"/>
      <c r="GL147" s="33"/>
      <c r="GM147" s="33"/>
      <c r="GN147" s="33"/>
      <c r="GO147" s="33"/>
      <c r="GP147" s="33"/>
      <c r="GQ147" s="33"/>
      <c r="GR147" s="33"/>
      <c r="GS147" s="33"/>
      <c r="GT147" s="33"/>
      <c r="GU147" s="33"/>
      <c r="GV147" s="33"/>
      <c r="GW147" s="33"/>
      <c r="GX147" s="33"/>
      <c r="GY147" s="33"/>
      <c r="GZ147" s="33"/>
      <c r="HA147" s="33"/>
      <c r="HB147" s="33"/>
      <c r="HC147" s="33"/>
      <c r="HD147" s="33"/>
      <c r="HE147" s="33"/>
      <c r="HF147" s="33"/>
      <c r="HG147" s="33"/>
      <c r="HH147" s="33"/>
      <c r="HI147" s="33"/>
      <c r="HJ147" s="33"/>
      <c r="HK147" s="33"/>
      <c r="HL147" s="33"/>
      <c r="HM147" s="33"/>
      <c r="HN147" s="33"/>
      <c r="HO147" s="33"/>
      <c r="HP147" s="33"/>
      <c r="HQ147" s="33"/>
      <c r="HR147" s="33"/>
      <c r="HS147" s="33"/>
      <c r="HT147" s="33"/>
      <c r="HU147" s="33"/>
      <c r="HV147" s="33"/>
      <c r="HW147" s="33"/>
      <c r="HX147" s="33"/>
      <c r="HY147" s="33"/>
      <c r="HZ147" s="33"/>
      <c r="IA147" s="33"/>
      <c r="IB147" s="33"/>
      <c r="IC147" s="33"/>
      <c r="ID147" s="33"/>
      <c r="IE147" s="33"/>
      <c r="IF147" s="33"/>
      <c r="IG147" s="33"/>
      <c r="IH147" s="33"/>
      <c r="II147" s="33"/>
      <c r="IJ147" s="33"/>
      <c r="IK147" s="33"/>
      <c r="IL147" s="33"/>
      <c r="IM147" s="33"/>
      <c r="IN147" s="33"/>
      <c r="IO147" s="33"/>
      <c r="IP147" s="33"/>
      <c r="IQ147" s="33"/>
      <c r="IR147" s="33"/>
      <c r="IS147" s="33"/>
      <c r="IT147" s="33"/>
      <c r="IU147" s="33"/>
      <c r="IV147" s="33"/>
      <c r="IW147" s="33"/>
      <c r="IX147" s="33"/>
      <c r="IY147" s="33"/>
      <c r="IZ147" s="33"/>
      <c r="JA147" s="33"/>
      <c r="JB147" s="33"/>
      <c r="JC147" s="33"/>
      <c r="JD147" s="33"/>
      <c r="JE147" s="33"/>
      <c r="JF147" s="33"/>
      <c r="JG147" s="33"/>
      <c r="JH147" s="33"/>
      <c r="JI147" s="33"/>
      <c r="JJ147" s="33"/>
      <c r="JK147" s="33"/>
      <c r="JL147" s="33"/>
      <c r="JM147" s="33"/>
      <c r="JN147" s="33"/>
      <c r="JO147" s="33"/>
      <c r="JP147" s="33"/>
      <c r="JQ147" s="33"/>
      <c r="JR147" s="33"/>
      <c r="JS147" s="33"/>
      <c r="JT147" s="33"/>
      <c r="JU147" s="33"/>
      <c r="JV147" s="33"/>
      <c r="JW147" s="33"/>
      <c r="JX147" s="33"/>
      <c r="JY147" s="33"/>
      <c r="JZ147" s="33"/>
      <c r="KA147" s="33"/>
      <c r="KB147" s="33"/>
      <c r="KC147" s="33"/>
      <c r="KD147" s="33"/>
      <c r="KE147" s="33"/>
      <c r="KF147" s="33"/>
      <c r="KG147" s="33"/>
    </row>
    <row r="148" spans="1:293" s="20" customFormat="1">
      <c r="A148" s="25"/>
      <c r="B148" s="19">
        <v>730</v>
      </c>
      <c r="C148" s="19">
        <v>25</v>
      </c>
      <c r="D148" s="19">
        <v>4.8472</v>
      </c>
      <c r="E148" s="21">
        <f t="shared" si="48"/>
        <v>0.395175</v>
      </c>
      <c r="F148" s="19">
        <v>0.34523999999999999</v>
      </c>
      <c r="G148" s="19">
        <v>0.44511000000000001</v>
      </c>
      <c r="H148" s="19"/>
      <c r="I148" s="19"/>
      <c r="J148" s="19"/>
      <c r="K148" s="19">
        <v>0</v>
      </c>
      <c r="L148" s="19">
        <v>12</v>
      </c>
      <c r="M148" s="19">
        <f t="shared" si="50"/>
        <v>6.486486486486486</v>
      </c>
      <c r="N148" s="24">
        <v>1</v>
      </c>
      <c r="O148" s="20">
        <f t="shared" si="49"/>
        <v>0.98985679327976628</v>
      </c>
      <c r="P148" s="20">
        <f t="shared" si="47"/>
        <v>1.0102471456367192</v>
      </c>
      <c r="Q148" s="20">
        <f t="shared" si="51"/>
        <v>25</v>
      </c>
      <c r="R148" s="20">
        <f t="shared" ref="R148:R211" si="52">C148*D148*P148</f>
        <v>122.42174910825763</v>
      </c>
      <c r="S148" s="20">
        <f t="shared" ref="S148:S211" si="53">C148*(D148+E148)*P148</f>
        <v>132.4023595026824</v>
      </c>
      <c r="T148" s="20">
        <f t="shared" ref="T148:T211" si="54">C148*(D148-E148)*P148</f>
        <v>112.44113871383287</v>
      </c>
      <c r="U148">
        <f t="shared" ref="U148:U211" si="55">(S148-R148)</f>
        <v>9.9806103944247724</v>
      </c>
      <c r="V148">
        <f t="shared" ref="V148:V211" si="56">(R148-T148)</f>
        <v>9.9806103944247582</v>
      </c>
      <c r="W148">
        <f t="shared" ref="W148:W211" si="57">(U148+V148)/2</f>
        <v>9.9806103944247653</v>
      </c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  <c r="FQ148" s="33"/>
      <c r="FR148" s="33"/>
      <c r="FS148" s="33"/>
      <c r="FT148" s="33"/>
      <c r="FU148" s="33"/>
      <c r="FV148" s="33"/>
      <c r="FW148" s="33"/>
      <c r="FX148" s="33"/>
      <c r="FY148" s="33"/>
      <c r="FZ148" s="33"/>
      <c r="GA148" s="33"/>
      <c r="GB148" s="33"/>
      <c r="GC148" s="33"/>
      <c r="GD148" s="33"/>
      <c r="GE148" s="33"/>
      <c r="GF148" s="33"/>
      <c r="GG148" s="33"/>
      <c r="GH148" s="33"/>
      <c r="GI148" s="33"/>
      <c r="GJ148" s="33"/>
      <c r="GK148" s="33"/>
      <c r="GL148" s="33"/>
      <c r="GM148" s="33"/>
      <c r="GN148" s="33"/>
      <c r="GO148" s="33"/>
      <c r="GP148" s="33"/>
      <c r="GQ148" s="33"/>
      <c r="GR148" s="33"/>
      <c r="GS148" s="33"/>
      <c r="GT148" s="33"/>
      <c r="GU148" s="33"/>
      <c r="GV148" s="33"/>
      <c r="GW148" s="33"/>
      <c r="GX148" s="33"/>
      <c r="GY148" s="33"/>
      <c r="GZ148" s="33"/>
      <c r="HA148" s="33"/>
      <c r="HB148" s="33"/>
      <c r="HC148" s="33"/>
      <c r="HD148" s="33"/>
      <c r="HE148" s="33"/>
      <c r="HF148" s="33"/>
      <c r="HG148" s="33"/>
      <c r="HH148" s="33"/>
      <c r="HI148" s="33"/>
      <c r="HJ148" s="33"/>
      <c r="HK148" s="33"/>
      <c r="HL148" s="33"/>
      <c r="HM148" s="33"/>
      <c r="HN148" s="33"/>
      <c r="HO148" s="33"/>
      <c r="HP148" s="33"/>
      <c r="HQ148" s="33"/>
      <c r="HR148" s="33"/>
      <c r="HS148" s="33"/>
      <c r="HT148" s="33"/>
      <c r="HU148" s="33"/>
      <c r="HV148" s="33"/>
      <c r="HW148" s="33"/>
      <c r="HX148" s="33"/>
      <c r="HY148" s="33"/>
      <c r="HZ148" s="33"/>
      <c r="IA148" s="33"/>
      <c r="IB148" s="33"/>
      <c r="IC148" s="33"/>
      <c r="ID148" s="33"/>
      <c r="IE148" s="33"/>
      <c r="IF148" s="33"/>
      <c r="IG148" s="33"/>
      <c r="IH148" s="33"/>
      <c r="II148" s="33"/>
      <c r="IJ148" s="33"/>
      <c r="IK148" s="33"/>
      <c r="IL148" s="33"/>
      <c r="IM148" s="33"/>
      <c r="IN148" s="33"/>
      <c r="IO148" s="33"/>
      <c r="IP148" s="33"/>
      <c r="IQ148" s="33"/>
      <c r="IR148" s="33"/>
      <c r="IS148" s="33"/>
      <c r="IT148" s="33"/>
      <c r="IU148" s="33"/>
      <c r="IV148" s="33"/>
      <c r="IW148" s="33"/>
      <c r="IX148" s="33"/>
      <c r="IY148" s="33"/>
      <c r="IZ148" s="33"/>
      <c r="JA148" s="33"/>
      <c r="JB148" s="33"/>
      <c r="JC148" s="33"/>
      <c r="JD148" s="33"/>
      <c r="JE148" s="33"/>
      <c r="JF148" s="33"/>
      <c r="JG148" s="33"/>
      <c r="JH148" s="33"/>
      <c r="JI148" s="33"/>
      <c r="JJ148" s="33"/>
      <c r="JK148" s="33"/>
      <c r="JL148" s="33"/>
      <c r="JM148" s="33"/>
      <c r="JN148" s="33"/>
      <c r="JO148" s="33"/>
      <c r="JP148" s="33"/>
      <c r="JQ148" s="33"/>
      <c r="JR148" s="33"/>
      <c r="JS148" s="33"/>
      <c r="JT148" s="33"/>
      <c r="JU148" s="33"/>
      <c r="JV148" s="33"/>
      <c r="JW148" s="33"/>
      <c r="JX148" s="33"/>
      <c r="JY148" s="33"/>
      <c r="JZ148" s="33"/>
      <c r="KA148" s="33"/>
      <c r="KB148" s="33"/>
      <c r="KC148" s="33"/>
      <c r="KD148" s="33"/>
      <c r="KE148" s="33"/>
      <c r="KF148" s="33"/>
      <c r="KG148" s="33"/>
    </row>
    <row r="149" spans="1:293" s="20" customFormat="1">
      <c r="A149" s="25"/>
      <c r="B149" s="19">
        <v>730</v>
      </c>
      <c r="C149" s="19">
        <v>29.42</v>
      </c>
      <c r="D149" s="19">
        <v>4.3818999999999999</v>
      </c>
      <c r="E149" s="21">
        <f t="shared" si="48"/>
        <v>0.57051999999999992</v>
      </c>
      <c r="F149" s="19">
        <v>0.57770999999999995</v>
      </c>
      <c r="G149" s="19">
        <v>0.56333</v>
      </c>
      <c r="H149" s="19"/>
      <c r="I149" s="19"/>
      <c r="J149" s="19"/>
      <c r="K149" s="19">
        <v>0</v>
      </c>
      <c r="L149" s="19">
        <v>12</v>
      </c>
      <c r="M149" s="19">
        <f t="shared" si="50"/>
        <v>6.486486486486486</v>
      </c>
      <c r="N149" s="24">
        <v>1</v>
      </c>
      <c r="O149" s="20">
        <f t="shared" si="49"/>
        <v>0.98985679327976628</v>
      </c>
      <c r="P149" s="20">
        <f t="shared" si="47"/>
        <v>1.0102471456367192</v>
      </c>
      <c r="Q149" s="20">
        <f t="shared" si="51"/>
        <v>29.42</v>
      </c>
      <c r="R149" s="20">
        <f t="shared" si="52"/>
        <v>130.23651388283619</v>
      </c>
      <c r="S149" s="20">
        <f t="shared" si="53"/>
        <v>147.19320753180941</v>
      </c>
      <c r="T149" s="20">
        <f t="shared" si="54"/>
        <v>113.27982023386298</v>
      </c>
      <c r="U149">
        <f t="shared" si="55"/>
        <v>16.956693648973214</v>
      </c>
      <c r="V149">
        <f t="shared" si="56"/>
        <v>16.956693648973214</v>
      </c>
      <c r="W149">
        <f t="shared" si="57"/>
        <v>16.956693648973214</v>
      </c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  <c r="FP149" s="33"/>
      <c r="FQ149" s="33"/>
      <c r="FR149" s="33"/>
      <c r="FS149" s="33"/>
      <c r="FT149" s="33"/>
      <c r="FU149" s="33"/>
      <c r="FV149" s="33"/>
      <c r="FW149" s="33"/>
      <c r="FX149" s="33"/>
      <c r="FY149" s="33"/>
      <c r="FZ149" s="33"/>
      <c r="GA149" s="33"/>
      <c r="GB149" s="33"/>
      <c r="GC149" s="33"/>
      <c r="GD149" s="33"/>
      <c r="GE149" s="33"/>
      <c r="GF149" s="33"/>
      <c r="GG149" s="33"/>
      <c r="GH149" s="33"/>
      <c r="GI149" s="33"/>
      <c r="GJ149" s="33"/>
      <c r="GK149" s="33"/>
      <c r="GL149" s="33"/>
      <c r="GM149" s="33"/>
      <c r="GN149" s="33"/>
      <c r="GO149" s="33"/>
      <c r="GP149" s="33"/>
      <c r="GQ149" s="33"/>
      <c r="GR149" s="33"/>
      <c r="GS149" s="33"/>
      <c r="GT149" s="33"/>
      <c r="GU149" s="33"/>
      <c r="GV149" s="33"/>
      <c r="GW149" s="33"/>
      <c r="GX149" s="33"/>
      <c r="GY149" s="33"/>
      <c r="GZ149" s="33"/>
      <c r="HA149" s="33"/>
      <c r="HB149" s="33"/>
      <c r="HC149" s="33"/>
      <c r="HD149" s="33"/>
      <c r="HE149" s="33"/>
      <c r="HF149" s="33"/>
      <c r="HG149" s="33"/>
      <c r="HH149" s="33"/>
      <c r="HI149" s="33"/>
      <c r="HJ149" s="33"/>
      <c r="HK149" s="33"/>
      <c r="HL149" s="33"/>
      <c r="HM149" s="33"/>
      <c r="HN149" s="33"/>
      <c r="HO149" s="33"/>
      <c r="HP149" s="33"/>
      <c r="HQ149" s="33"/>
      <c r="HR149" s="33"/>
      <c r="HS149" s="33"/>
      <c r="HT149" s="33"/>
      <c r="HU149" s="33"/>
      <c r="HV149" s="33"/>
      <c r="HW149" s="33"/>
      <c r="HX149" s="33"/>
      <c r="HY149" s="33"/>
      <c r="HZ149" s="33"/>
      <c r="IA149" s="33"/>
      <c r="IB149" s="33"/>
      <c r="IC149" s="33"/>
      <c r="ID149" s="33"/>
      <c r="IE149" s="33"/>
      <c r="IF149" s="33"/>
      <c r="IG149" s="33"/>
      <c r="IH149" s="33"/>
      <c r="II149" s="33"/>
      <c r="IJ149" s="33"/>
      <c r="IK149" s="33"/>
      <c r="IL149" s="33"/>
      <c r="IM149" s="33"/>
      <c r="IN149" s="33"/>
      <c r="IO149" s="33"/>
      <c r="IP149" s="33"/>
      <c r="IQ149" s="33"/>
      <c r="IR149" s="33"/>
      <c r="IS149" s="33"/>
      <c r="IT149" s="33"/>
      <c r="IU149" s="33"/>
      <c r="IV149" s="33"/>
      <c r="IW149" s="33"/>
      <c r="IX149" s="33"/>
      <c r="IY149" s="33"/>
      <c r="IZ149" s="33"/>
      <c r="JA149" s="33"/>
      <c r="JB149" s="33"/>
      <c r="JC149" s="33"/>
      <c r="JD149" s="33"/>
      <c r="JE149" s="33"/>
      <c r="JF149" s="33"/>
      <c r="JG149" s="33"/>
      <c r="JH149" s="33"/>
      <c r="JI149" s="33"/>
      <c r="JJ149" s="33"/>
      <c r="JK149" s="33"/>
      <c r="JL149" s="33"/>
      <c r="JM149" s="33"/>
      <c r="JN149" s="33"/>
      <c r="JO149" s="33"/>
      <c r="JP149" s="33"/>
      <c r="JQ149" s="33"/>
      <c r="JR149" s="33"/>
      <c r="JS149" s="33"/>
      <c r="JT149" s="33"/>
      <c r="JU149" s="33"/>
      <c r="JV149" s="33"/>
      <c r="JW149" s="33"/>
      <c r="JX149" s="33"/>
      <c r="JY149" s="33"/>
      <c r="JZ149" s="33"/>
      <c r="KA149" s="33"/>
      <c r="KB149" s="33"/>
      <c r="KC149" s="33"/>
      <c r="KD149" s="33"/>
      <c r="KE149" s="33"/>
      <c r="KF149" s="33"/>
      <c r="KG149" s="33"/>
    </row>
    <row r="150" spans="1:293" s="20" customFormat="1">
      <c r="A150" s="25"/>
      <c r="B150" s="19">
        <v>730</v>
      </c>
      <c r="C150" s="19">
        <v>37.753</v>
      </c>
      <c r="D150" s="19">
        <v>3.9072</v>
      </c>
      <c r="E150" s="21">
        <f t="shared" si="48"/>
        <v>0.47630499999999998</v>
      </c>
      <c r="F150" s="19">
        <v>0.43473000000000001</v>
      </c>
      <c r="G150" s="19">
        <v>0.51788000000000001</v>
      </c>
      <c r="H150" s="19"/>
      <c r="I150" s="19"/>
      <c r="J150" s="19"/>
      <c r="K150" s="19">
        <v>0</v>
      </c>
      <c r="L150" s="19">
        <v>12</v>
      </c>
      <c r="M150" s="19">
        <f t="shared" si="50"/>
        <v>6.486486486486486</v>
      </c>
      <c r="N150" s="24">
        <v>1</v>
      </c>
      <c r="O150" s="20">
        <f t="shared" si="49"/>
        <v>0.98985679327976628</v>
      </c>
      <c r="P150" s="20">
        <f t="shared" si="47"/>
        <v>1.0102471456367192</v>
      </c>
      <c r="Q150" s="20">
        <f t="shared" si="51"/>
        <v>37.753</v>
      </c>
      <c r="R150" s="20">
        <f t="shared" si="52"/>
        <v>149.02006290349235</v>
      </c>
      <c r="S150" s="20">
        <f t="shared" si="53"/>
        <v>167.18626915381174</v>
      </c>
      <c r="T150" s="20">
        <f t="shared" si="54"/>
        <v>130.85385665317295</v>
      </c>
      <c r="U150">
        <f t="shared" si="55"/>
        <v>18.166206250319391</v>
      </c>
      <c r="V150">
        <f t="shared" si="56"/>
        <v>18.166206250319391</v>
      </c>
      <c r="W150">
        <f t="shared" si="57"/>
        <v>18.166206250319391</v>
      </c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  <c r="FP150" s="33"/>
      <c r="FQ150" s="33"/>
      <c r="FR150" s="33"/>
      <c r="FS150" s="33"/>
      <c r="FT150" s="33"/>
      <c r="FU150" s="33"/>
      <c r="FV150" s="33"/>
      <c r="FW150" s="33"/>
      <c r="FX150" s="33"/>
      <c r="FY150" s="33"/>
      <c r="FZ150" s="33"/>
      <c r="GA150" s="33"/>
      <c r="GB150" s="33"/>
      <c r="GC150" s="33"/>
      <c r="GD150" s="33"/>
      <c r="GE150" s="33"/>
      <c r="GF150" s="33"/>
      <c r="GG150" s="33"/>
      <c r="GH150" s="33"/>
      <c r="GI150" s="33"/>
      <c r="GJ150" s="33"/>
      <c r="GK150" s="33"/>
      <c r="GL150" s="33"/>
      <c r="GM150" s="33"/>
      <c r="GN150" s="33"/>
      <c r="GO150" s="33"/>
      <c r="GP150" s="33"/>
      <c r="GQ150" s="33"/>
      <c r="GR150" s="33"/>
      <c r="GS150" s="33"/>
      <c r="GT150" s="33"/>
      <c r="GU150" s="33"/>
      <c r="GV150" s="33"/>
      <c r="GW150" s="33"/>
      <c r="GX150" s="33"/>
      <c r="GY150" s="33"/>
      <c r="GZ150" s="33"/>
      <c r="HA150" s="33"/>
      <c r="HB150" s="33"/>
      <c r="HC150" s="33"/>
      <c r="HD150" s="33"/>
      <c r="HE150" s="33"/>
      <c r="HF150" s="33"/>
      <c r="HG150" s="33"/>
      <c r="HH150" s="33"/>
      <c r="HI150" s="33"/>
      <c r="HJ150" s="33"/>
      <c r="HK150" s="33"/>
      <c r="HL150" s="33"/>
      <c r="HM150" s="33"/>
      <c r="HN150" s="33"/>
      <c r="HO150" s="33"/>
      <c r="HP150" s="33"/>
      <c r="HQ150" s="33"/>
      <c r="HR150" s="33"/>
      <c r="HS150" s="33"/>
      <c r="HT150" s="33"/>
      <c r="HU150" s="33"/>
      <c r="HV150" s="33"/>
      <c r="HW150" s="33"/>
      <c r="HX150" s="33"/>
      <c r="HY150" s="33"/>
      <c r="HZ150" s="33"/>
      <c r="IA150" s="33"/>
      <c r="IB150" s="33"/>
      <c r="IC150" s="33"/>
      <c r="ID150" s="33"/>
      <c r="IE150" s="33"/>
      <c r="IF150" s="33"/>
      <c r="IG150" s="33"/>
      <c r="IH150" s="33"/>
      <c r="II150" s="33"/>
      <c r="IJ150" s="33"/>
      <c r="IK150" s="33"/>
      <c r="IL150" s="33"/>
      <c r="IM150" s="33"/>
      <c r="IN150" s="33"/>
      <c r="IO150" s="33"/>
      <c r="IP150" s="33"/>
      <c r="IQ150" s="33"/>
      <c r="IR150" s="33"/>
      <c r="IS150" s="33"/>
      <c r="IT150" s="33"/>
      <c r="IU150" s="33"/>
      <c r="IV150" s="33"/>
      <c r="IW150" s="33"/>
      <c r="IX150" s="33"/>
      <c r="IY150" s="33"/>
      <c r="IZ150" s="33"/>
      <c r="JA150" s="33"/>
      <c r="JB150" s="33"/>
      <c r="JC150" s="33"/>
      <c r="JD150" s="33"/>
      <c r="JE150" s="33"/>
      <c r="JF150" s="33"/>
      <c r="JG150" s="33"/>
      <c r="JH150" s="33"/>
      <c r="JI150" s="33"/>
      <c r="JJ150" s="33"/>
      <c r="JK150" s="33"/>
      <c r="JL150" s="33"/>
      <c r="JM150" s="33"/>
      <c r="JN150" s="33"/>
      <c r="JO150" s="33"/>
      <c r="JP150" s="33"/>
      <c r="JQ150" s="33"/>
      <c r="JR150" s="33"/>
      <c r="JS150" s="33"/>
      <c r="JT150" s="33"/>
      <c r="JU150" s="33"/>
      <c r="JV150" s="33"/>
      <c r="JW150" s="33"/>
      <c r="JX150" s="33"/>
      <c r="JY150" s="33"/>
      <c r="JZ150" s="33"/>
      <c r="KA150" s="33"/>
      <c r="KB150" s="33"/>
      <c r="KC150" s="33"/>
      <c r="KD150" s="33"/>
      <c r="KE150" s="33"/>
      <c r="KF150" s="33"/>
      <c r="KG150" s="33"/>
    </row>
    <row r="151" spans="1:293" s="20" customFormat="1">
      <c r="A151" s="25"/>
      <c r="B151" s="19">
        <v>730</v>
      </c>
      <c r="C151" s="19">
        <v>54.451999999999998</v>
      </c>
      <c r="D151" s="19">
        <v>2.9266000000000001</v>
      </c>
      <c r="E151" s="21">
        <f t="shared" si="48"/>
        <v>0.65871499999999994</v>
      </c>
      <c r="F151" s="19">
        <v>0.65447</v>
      </c>
      <c r="G151" s="19">
        <v>0.66295999999999999</v>
      </c>
      <c r="H151" s="19"/>
      <c r="I151" s="19"/>
      <c r="J151" s="19"/>
      <c r="K151" s="19">
        <v>0</v>
      </c>
      <c r="L151" s="19">
        <v>12</v>
      </c>
      <c r="M151" s="19">
        <f t="shared" si="50"/>
        <v>6.486486486486486</v>
      </c>
      <c r="N151" s="24">
        <v>1</v>
      </c>
      <c r="O151" s="20">
        <f t="shared" si="49"/>
        <v>0.98985679327976628</v>
      </c>
      <c r="P151" s="20">
        <f t="shared" si="47"/>
        <v>1.0102471456367192</v>
      </c>
      <c r="Q151" s="20">
        <f t="shared" si="51"/>
        <v>54.451999999999998</v>
      </c>
      <c r="R151" s="20">
        <f t="shared" si="52"/>
        <v>160.99220036868485</v>
      </c>
      <c r="S151" s="20">
        <f t="shared" si="53"/>
        <v>197.22809774648101</v>
      </c>
      <c r="T151" s="20">
        <f t="shared" si="54"/>
        <v>124.7563029908887</v>
      </c>
      <c r="U151">
        <f t="shared" si="55"/>
        <v>36.235897377796164</v>
      </c>
      <c r="V151">
        <f t="shared" si="56"/>
        <v>36.235897377796149</v>
      </c>
      <c r="W151">
        <f t="shared" si="57"/>
        <v>36.235897377796157</v>
      </c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  <c r="FP151" s="33"/>
      <c r="FQ151" s="33"/>
      <c r="FR151" s="33"/>
      <c r="FS151" s="33"/>
      <c r="FT151" s="33"/>
      <c r="FU151" s="33"/>
      <c r="FV151" s="33"/>
      <c r="FW151" s="33"/>
      <c r="FX151" s="33"/>
      <c r="FY151" s="33"/>
      <c r="FZ151" s="33"/>
      <c r="GA151" s="33"/>
      <c r="GB151" s="33"/>
      <c r="GC151" s="33"/>
      <c r="GD151" s="33"/>
      <c r="GE151" s="33"/>
      <c r="GF151" s="33"/>
      <c r="GG151" s="33"/>
      <c r="GH151" s="33"/>
      <c r="GI151" s="33"/>
      <c r="GJ151" s="33"/>
      <c r="GK151" s="33"/>
      <c r="GL151" s="33"/>
      <c r="GM151" s="33"/>
      <c r="GN151" s="33"/>
      <c r="GO151" s="33"/>
      <c r="GP151" s="33"/>
      <c r="GQ151" s="33"/>
      <c r="GR151" s="33"/>
      <c r="GS151" s="33"/>
      <c r="GT151" s="33"/>
      <c r="GU151" s="33"/>
      <c r="GV151" s="33"/>
      <c r="GW151" s="33"/>
      <c r="GX151" s="33"/>
      <c r="GY151" s="33"/>
      <c r="GZ151" s="33"/>
      <c r="HA151" s="33"/>
      <c r="HB151" s="33"/>
      <c r="HC151" s="33"/>
      <c r="HD151" s="33"/>
      <c r="HE151" s="33"/>
      <c r="HF151" s="33"/>
      <c r="HG151" s="33"/>
      <c r="HH151" s="33"/>
      <c r="HI151" s="33"/>
      <c r="HJ151" s="33"/>
      <c r="HK151" s="33"/>
      <c r="HL151" s="33"/>
      <c r="HM151" s="33"/>
      <c r="HN151" s="33"/>
      <c r="HO151" s="33"/>
      <c r="HP151" s="33"/>
      <c r="HQ151" s="33"/>
      <c r="HR151" s="33"/>
      <c r="HS151" s="33"/>
      <c r="HT151" s="33"/>
      <c r="HU151" s="33"/>
      <c r="HV151" s="33"/>
      <c r="HW151" s="33"/>
      <c r="HX151" s="33"/>
      <c r="HY151" s="33"/>
      <c r="HZ151" s="33"/>
      <c r="IA151" s="33"/>
      <c r="IB151" s="33"/>
      <c r="IC151" s="33"/>
      <c r="ID151" s="33"/>
      <c r="IE151" s="33"/>
      <c r="IF151" s="33"/>
      <c r="IG151" s="33"/>
      <c r="IH151" s="33"/>
      <c r="II151" s="33"/>
      <c r="IJ151" s="33"/>
      <c r="IK151" s="33"/>
      <c r="IL151" s="33"/>
      <c r="IM151" s="33"/>
      <c r="IN151" s="33"/>
      <c r="IO151" s="33"/>
      <c r="IP151" s="33"/>
      <c r="IQ151" s="33"/>
      <c r="IR151" s="33"/>
      <c r="IS151" s="33"/>
      <c r="IT151" s="33"/>
      <c r="IU151" s="33"/>
      <c r="IV151" s="33"/>
      <c r="IW151" s="33"/>
      <c r="IX151" s="33"/>
      <c r="IY151" s="33"/>
      <c r="IZ151" s="33"/>
      <c r="JA151" s="33"/>
      <c r="JB151" s="33"/>
      <c r="JC151" s="33"/>
      <c r="JD151" s="33"/>
      <c r="JE151" s="33"/>
      <c r="JF151" s="33"/>
      <c r="JG151" s="33"/>
      <c r="JH151" s="33"/>
      <c r="JI151" s="33"/>
      <c r="JJ151" s="33"/>
      <c r="JK151" s="33"/>
      <c r="JL151" s="33"/>
      <c r="JM151" s="33"/>
      <c r="JN151" s="33"/>
      <c r="JO151" s="33"/>
      <c r="JP151" s="33"/>
      <c r="JQ151" s="33"/>
      <c r="JR151" s="33"/>
      <c r="JS151" s="33"/>
      <c r="JT151" s="33"/>
      <c r="JU151" s="33"/>
      <c r="JV151" s="33"/>
      <c r="JW151" s="33"/>
      <c r="JX151" s="33"/>
      <c r="JY151" s="33"/>
      <c r="JZ151" s="33"/>
      <c r="KA151" s="33"/>
      <c r="KB151" s="33"/>
      <c r="KC151" s="33"/>
      <c r="KD151" s="33"/>
      <c r="KE151" s="33"/>
      <c r="KF151" s="33"/>
      <c r="KG151" s="33"/>
    </row>
    <row r="152" spans="1:293" s="20" customFormat="1">
      <c r="A152" s="25"/>
      <c r="B152" s="19">
        <v>730</v>
      </c>
      <c r="C152" s="19">
        <v>69.331999999999994</v>
      </c>
      <c r="D152" s="19">
        <v>2.4925999999999999</v>
      </c>
      <c r="E152" s="21">
        <f t="shared" si="48"/>
        <v>0.49955499999999997</v>
      </c>
      <c r="F152" s="19">
        <v>0.51573000000000002</v>
      </c>
      <c r="G152" s="19">
        <v>0.48337999999999998</v>
      </c>
      <c r="H152" s="19"/>
      <c r="I152" s="19"/>
      <c r="J152" s="19"/>
      <c r="K152" s="19">
        <v>0</v>
      </c>
      <c r="L152" s="19">
        <v>12</v>
      </c>
      <c r="M152" s="19">
        <f t="shared" si="50"/>
        <v>6.486486486486486</v>
      </c>
      <c r="N152" s="24">
        <v>1</v>
      </c>
      <c r="O152" s="20">
        <f t="shared" si="49"/>
        <v>0.98985679327976628</v>
      </c>
      <c r="P152" s="20">
        <f t="shared" si="47"/>
        <v>1.0102471456367192</v>
      </c>
      <c r="Q152" s="20">
        <f t="shared" si="51"/>
        <v>69.331999999999994</v>
      </c>
      <c r="R152" s="20">
        <f t="shared" si="52"/>
        <v>174.58782358546301</v>
      </c>
      <c r="S152" s="20">
        <f t="shared" si="53"/>
        <v>209.57788224358544</v>
      </c>
      <c r="T152" s="20">
        <f t="shared" si="54"/>
        <v>139.59776492734056</v>
      </c>
      <c r="U152">
        <f t="shared" si="55"/>
        <v>34.990058658122422</v>
      </c>
      <c r="V152">
        <f t="shared" si="56"/>
        <v>34.99005865812245</v>
      </c>
      <c r="W152">
        <f t="shared" si="57"/>
        <v>34.990058658122436</v>
      </c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5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  <c r="FQ152" s="33"/>
      <c r="FR152" s="33"/>
      <c r="FS152" s="33"/>
      <c r="FT152" s="33"/>
      <c r="FU152" s="33"/>
      <c r="FV152" s="33"/>
      <c r="FW152" s="33"/>
      <c r="FX152" s="33"/>
      <c r="FY152" s="33"/>
      <c r="FZ152" s="33"/>
      <c r="GA152" s="33"/>
      <c r="GB152" s="33"/>
      <c r="GC152" s="33"/>
      <c r="GD152" s="33"/>
      <c r="GE152" s="33"/>
      <c r="GF152" s="33"/>
      <c r="GG152" s="33"/>
      <c r="GH152" s="33"/>
      <c r="GI152" s="33"/>
      <c r="GJ152" s="33"/>
      <c r="GK152" s="33"/>
      <c r="GL152" s="33"/>
      <c r="GM152" s="33"/>
      <c r="GN152" s="33"/>
      <c r="GO152" s="33"/>
      <c r="GP152" s="33"/>
      <c r="GQ152" s="33"/>
      <c r="GR152" s="33"/>
      <c r="GS152" s="33"/>
      <c r="GT152" s="33"/>
      <c r="GU152" s="33"/>
      <c r="GV152" s="33"/>
      <c r="GW152" s="33"/>
      <c r="GX152" s="33"/>
      <c r="GY152" s="33"/>
      <c r="GZ152" s="33"/>
      <c r="HA152" s="33"/>
      <c r="HB152" s="33"/>
      <c r="HC152" s="33"/>
      <c r="HD152" s="33"/>
      <c r="HE152" s="33"/>
      <c r="HF152" s="33"/>
      <c r="HG152" s="33"/>
      <c r="HH152" s="33"/>
      <c r="HI152" s="33"/>
      <c r="HJ152" s="33"/>
      <c r="HK152" s="33"/>
      <c r="HL152" s="33"/>
      <c r="HM152" s="33"/>
      <c r="HN152" s="33"/>
      <c r="HO152" s="33"/>
      <c r="HP152" s="33"/>
      <c r="HQ152" s="33"/>
      <c r="HR152" s="33"/>
      <c r="HS152" s="33"/>
      <c r="HT152" s="33"/>
      <c r="HU152" s="33"/>
      <c r="HV152" s="33"/>
      <c r="HW152" s="33"/>
      <c r="HX152" s="33"/>
      <c r="HY152" s="33"/>
      <c r="HZ152" s="33"/>
      <c r="IA152" s="33"/>
      <c r="IB152" s="33"/>
      <c r="IC152" s="33"/>
      <c r="ID152" s="33"/>
      <c r="IE152" s="33"/>
      <c r="IF152" s="33"/>
      <c r="IG152" s="33"/>
      <c r="IH152" s="33"/>
      <c r="II152" s="33"/>
      <c r="IJ152" s="33"/>
      <c r="IK152" s="33"/>
      <c r="IL152" s="33"/>
      <c r="IM152" s="33"/>
      <c r="IN152" s="33"/>
      <c r="IO152" s="33"/>
      <c r="IP152" s="33"/>
      <c r="IQ152" s="33"/>
      <c r="IR152" s="33"/>
      <c r="IS152" s="33"/>
      <c r="IT152" s="33"/>
      <c r="IU152" s="33"/>
      <c r="IV152" s="33"/>
      <c r="IW152" s="33"/>
      <c r="IX152" s="33"/>
      <c r="IY152" s="33"/>
      <c r="IZ152" s="33"/>
      <c r="JA152" s="33"/>
      <c r="JB152" s="33"/>
      <c r="JC152" s="33"/>
      <c r="JD152" s="33"/>
      <c r="JE152" s="33"/>
      <c r="JF152" s="33"/>
      <c r="JG152" s="33"/>
      <c r="JH152" s="33"/>
      <c r="JI152" s="33"/>
      <c r="JJ152" s="33"/>
      <c r="JK152" s="33"/>
      <c r="JL152" s="33"/>
      <c r="JM152" s="33"/>
      <c r="JN152" s="33"/>
      <c r="JO152" s="33"/>
      <c r="JP152" s="33"/>
      <c r="JQ152" s="33"/>
      <c r="JR152" s="33"/>
      <c r="JS152" s="33"/>
      <c r="JT152" s="33"/>
      <c r="JU152" s="33"/>
      <c r="JV152" s="33"/>
      <c r="JW152" s="33"/>
      <c r="JX152" s="33"/>
      <c r="JY152" s="33"/>
      <c r="JZ152" s="33"/>
      <c r="KA152" s="33"/>
      <c r="KB152" s="33"/>
      <c r="KC152" s="33"/>
      <c r="KD152" s="33"/>
      <c r="KE152" s="33"/>
      <c r="KF152" s="33"/>
      <c r="KG152" s="33"/>
    </row>
    <row r="153" spans="1:293">
      <c r="A153" s="10" t="s">
        <v>9</v>
      </c>
      <c r="B153" s="4">
        <v>730</v>
      </c>
      <c r="C153" s="4">
        <v>1</v>
      </c>
      <c r="D153" s="4">
        <v>6.7962999999999996</v>
      </c>
      <c r="E153" s="8">
        <f t="shared" si="48"/>
        <v>2.9256000000000002</v>
      </c>
      <c r="F153" s="4">
        <v>3.0556000000000001</v>
      </c>
      <c r="G153" s="4">
        <v>2.7955999999999999</v>
      </c>
      <c r="H153" s="4"/>
      <c r="I153" s="4"/>
      <c r="J153" s="4"/>
      <c r="K153" s="3">
        <v>0</v>
      </c>
      <c r="L153" s="3">
        <v>12</v>
      </c>
      <c r="M153" s="3">
        <f t="shared" si="50"/>
        <v>6.486486486486486</v>
      </c>
      <c r="N153" s="15">
        <v>1</v>
      </c>
      <c r="O153">
        <f t="shared" si="49"/>
        <v>0.98985679327976628</v>
      </c>
      <c r="P153">
        <f t="shared" si="47"/>
        <v>1.0102471456367192</v>
      </c>
      <c r="Q153">
        <f t="shared" si="51"/>
        <v>1</v>
      </c>
      <c r="R153">
        <f t="shared" si="52"/>
        <v>6.8659426758908344</v>
      </c>
      <c r="S153">
        <f t="shared" si="53"/>
        <v>9.8215217251656206</v>
      </c>
      <c r="T153">
        <f t="shared" si="54"/>
        <v>3.9103636266160486</v>
      </c>
      <c r="U153">
        <f t="shared" si="55"/>
        <v>2.9555790492747862</v>
      </c>
      <c r="V153">
        <f t="shared" si="56"/>
        <v>2.9555790492747858</v>
      </c>
      <c r="W153">
        <f t="shared" si="57"/>
        <v>2.9555790492747862</v>
      </c>
    </row>
    <row r="154" spans="1:293">
      <c r="A154" s="66" t="s">
        <v>74</v>
      </c>
      <c r="B154" s="4">
        <v>730</v>
      </c>
      <c r="C154" s="4">
        <v>2</v>
      </c>
      <c r="D154" s="4">
        <v>5.8888999999999996</v>
      </c>
      <c r="E154" s="8">
        <f t="shared" si="48"/>
        <v>1.8332000000000002</v>
      </c>
      <c r="F154" s="4">
        <v>1.8889</v>
      </c>
      <c r="G154" s="4">
        <v>1.7775000000000001</v>
      </c>
      <c r="H154" s="4"/>
      <c r="I154" s="4"/>
      <c r="J154" s="4"/>
      <c r="K154" s="3">
        <v>0</v>
      </c>
      <c r="L154" s="3">
        <v>12</v>
      </c>
      <c r="M154" s="3">
        <f t="shared" si="50"/>
        <v>6.486486486486486</v>
      </c>
      <c r="N154" s="15">
        <v>1</v>
      </c>
      <c r="O154">
        <f t="shared" si="49"/>
        <v>0.98985679327976628</v>
      </c>
      <c r="P154">
        <f t="shared" si="47"/>
        <v>1.0102471456367192</v>
      </c>
      <c r="Q154">
        <f t="shared" si="51"/>
        <v>2</v>
      </c>
      <c r="R154">
        <f t="shared" si="52"/>
        <v>11.898488831880151</v>
      </c>
      <c r="S154">
        <f t="shared" si="53"/>
        <v>15.602458966642619</v>
      </c>
      <c r="T154">
        <f t="shared" si="54"/>
        <v>8.1945186971176849</v>
      </c>
      <c r="U154">
        <f t="shared" si="55"/>
        <v>3.7039701347624678</v>
      </c>
      <c r="V154">
        <f t="shared" si="56"/>
        <v>3.7039701347624661</v>
      </c>
      <c r="W154">
        <f t="shared" si="57"/>
        <v>3.7039701347624669</v>
      </c>
    </row>
    <row r="155" spans="1:293">
      <c r="A155" s="65" t="s">
        <v>76</v>
      </c>
      <c r="B155" s="4">
        <v>730</v>
      </c>
      <c r="C155" s="4">
        <v>4</v>
      </c>
      <c r="D155" s="4">
        <v>5.0740999999999996</v>
      </c>
      <c r="E155" s="8">
        <f t="shared" si="48"/>
        <v>1.3145500000000001</v>
      </c>
      <c r="F155" s="4">
        <v>1.4444999999999999</v>
      </c>
      <c r="G155" s="4">
        <v>1.1846000000000001</v>
      </c>
      <c r="H155" s="4"/>
      <c r="I155" s="4"/>
      <c r="J155" s="4"/>
      <c r="K155" s="3">
        <v>0</v>
      </c>
      <c r="L155" s="3">
        <v>12</v>
      </c>
      <c r="M155" s="3">
        <f t="shared" si="50"/>
        <v>6.486486486486486</v>
      </c>
      <c r="N155" s="15">
        <v>1</v>
      </c>
      <c r="O155">
        <f t="shared" si="49"/>
        <v>0.98985679327976628</v>
      </c>
      <c r="P155">
        <f t="shared" si="47"/>
        <v>1.0102471456367192</v>
      </c>
      <c r="Q155">
        <f t="shared" si="51"/>
        <v>4</v>
      </c>
      <c r="R155">
        <f t="shared" si="52"/>
        <v>20.504380166701107</v>
      </c>
      <c r="S155">
        <f t="shared" si="53"/>
        <v>25.816461707888106</v>
      </c>
      <c r="T155">
        <f t="shared" si="54"/>
        <v>15.192298625514109</v>
      </c>
      <c r="U155">
        <f t="shared" si="55"/>
        <v>5.3120815411869984</v>
      </c>
      <c r="V155">
        <f t="shared" si="56"/>
        <v>5.3120815411869984</v>
      </c>
      <c r="W155">
        <f t="shared" si="57"/>
        <v>5.3120815411869984</v>
      </c>
    </row>
    <row r="156" spans="1:293">
      <c r="A156" s="9"/>
      <c r="B156" s="4">
        <v>730</v>
      </c>
      <c r="C156" s="4">
        <v>8</v>
      </c>
      <c r="D156" s="4">
        <v>4.7592999999999996</v>
      </c>
      <c r="E156" s="8">
        <f t="shared" si="48"/>
        <v>1.0830299999999999</v>
      </c>
      <c r="F156" s="4">
        <v>1.2406999999999999</v>
      </c>
      <c r="G156" s="4">
        <v>0.92535999999999996</v>
      </c>
      <c r="H156" s="4"/>
      <c r="I156" s="4"/>
      <c r="J156" s="4"/>
      <c r="K156" s="3">
        <v>0</v>
      </c>
      <c r="L156" s="3">
        <v>12</v>
      </c>
      <c r="M156" s="3">
        <f t="shared" si="50"/>
        <v>6.486486486486486</v>
      </c>
      <c r="N156" s="15">
        <v>1</v>
      </c>
      <c r="O156">
        <f t="shared" si="49"/>
        <v>0.98985679327976628</v>
      </c>
      <c r="P156">
        <f t="shared" si="47"/>
        <v>1.0102471456367192</v>
      </c>
      <c r="Q156">
        <f t="shared" si="51"/>
        <v>8</v>
      </c>
      <c r="R156">
        <f t="shared" si="52"/>
        <v>38.464553921830699</v>
      </c>
      <c r="S156">
        <f t="shared" si="53"/>
        <v>47.217577650942189</v>
      </c>
      <c r="T156">
        <f t="shared" si="54"/>
        <v>29.711530192719213</v>
      </c>
      <c r="U156">
        <f t="shared" si="55"/>
        <v>8.7530237291114901</v>
      </c>
      <c r="V156">
        <f t="shared" si="56"/>
        <v>8.7530237291114865</v>
      </c>
      <c r="W156">
        <f t="shared" si="57"/>
        <v>8.7530237291114883</v>
      </c>
    </row>
    <row r="157" spans="1:293">
      <c r="A157" s="9"/>
      <c r="B157" s="4">
        <v>730</v>
      </c>
      <c r="C157" s="4">
        <v>16</v>
      </c>
      <c r="D157" s="4">
        <v>4.4074</v>
      </c>
      <c r="E157" s="8">
        <f t="shared" si="48"/>
        <v>0.90704999999999991</v>
      </c>
      <c r="F157" s="4">
        <v>1.1295999999999999</v>
      </c>
      <c r="G157" s="4">
        <v>0.6845</v>
      </c>
      <c r="H157" s="4"/>
      <c r="I157" s="4"/>
      <c r="J157" s="4"/>
      <c r="K157" s="3">
        <v>0</v>
      </c>
      <c r="L157" s="3">
        <v>12</v>
      </c>
      <c r="M157" s="3">
        <f t="shared" si="50"/>
        <v>6.486486486486486</v>
      </c>
      <c r="N157" s="15">
        <v>1</v>
      </c>
      <c r="O157">
        <f t="shared" si="49"/>
        <v>0.98985679327976628</v>
      </c>
      <c r="P157">
        <f t="shared" si="47"/>
        <v>1.0102471456367192</v>
      </c>
      <c r="Q157">
        <f t="shared" si="51"/>
        <v>16</v>
      </c>
      <c r="R157">
        <f t="shared" si="52"/>
        <v>71.241012314868428</v>
      </c>
      <c r="S157">
        <f t="shared" si="53"/>
        <v>85.902527090064993</v>
      </c>
      <c r="T157">
        <f t="shared" si="54"/>
        <v>56.579497539671841</v>
      </c>
      <c r="U157">
        <f t="shared" si="55"/>
        <v>14.661514775196565</v>
      </c>
      <c r="V157">
        <f t="shared" si="56"/>
        <v>14.661514775196586</v>
      </c>
      <c r="W157">
        <f t="shared" si="57"/>
        <v>14.661514775196576</v>
      </c>
    </row>
    <row r="158" spans="1:293">
      <c r="A158" s="9"/>
      <c r="B158" s="4">
        <v>730</v>
      </c>
      <c r="C158" s="4">
        <v>32</v>
      </c>
      <c r="D158" s="4">
        <v>4.0369999999999999</v>
      </c>
      <c r="E158" s="8">
        <f t="shared" si="48"/>
        <v>0.70343999999999995</v>
      </c>
      <c r="F158" s="4">
        <v>0.90742999999999996</v>
      </c>
      <c r="G158" s="4">
        <v>0.49945000000000001</v>
      </c>
      <c r="H158" s="4"/>
      <c r="I158" s="4"/>
      <c r="J158" s="4"/>
      <c r="K158" s="3">
        <v>0</v>
      </c>
      <c r="L158" s="3">
        <v>12</v>
      </c>
      <c r="M158" s="3">
        <f t="shared" si="50"/>
        <v>6.486486486486486</v>
      </c>
      <c r="N158" s="15">
        <v>1</v>
      </c>
      <c r="O158">
        <f t="shared" si="49"/>
        <v>0.98985679327976628</v>
      </c>
      <c r="P158">
        <f t="shared" si="47"/>
        <v>1.0102471456367192</v>
      </c>
      <c r="Q158">
        <f t="shared" si="51"/>
        <v>32</v>
      </c>
      <c r="R158">
        <f t="shared" si="52"/>
        <v>130.50776726193394</v>
      </c>
      <c r="S158">
        <f t="shared" si="53"/>
        <v>153.24851132998813</v>
      </c>
      <c r="T158">
        <f t="shared" si="54"/>
        <v>107.76702319387974</v>
      </c>
      <c r="U158">
        <f t="shared" si="55"/>
        <v>22.740744068054198</v>
      </c>
      <c r="V158">
        <f t="shared" si="56"/>
        <v>22.740744068054198</v>
      </c>
      <c r="W158">
        <f t="shared" si="57"/>
        <v>22.740744068054198</v>
      </c>
    </row>
    <row r="159" spans="1:293">
      <c r="A159" s="9"/>
      <c r="B159" s="4">
        <v>730</v>
      </c>
      <c r="C159" s="4">
        <v>64</v>
      </c>
      <c r="D159" s="4">
        <v>3.2593000000000001</v>
      </c>
      <c r="E159" s="8">
        <f t="shared" si="48"/>
        <v>0.55445</v>
      </c>
      <c r="F159" s="4">
        <v>0.7399</v>
      </c>
      <c r="G159" s="4">
        <v>0.36899999999999999</v>
      </c>
      <c r="H159" s="4"/>
      <c r="I159" s="4"/>
      <c r="J159" s="4"/>
      <c r="K159" s="3">
        <v>0</v>
      </c>
      <c r="L159" s="3">
        <v>12</v>
      </c>
      <c r="M159" s="3">
        <f t="shared" si="50"/>
        <v>6.486486486486486</v>
      </c>
      <c r="N159" s="15">
        <v>1</v>
      </c>
      <c r="O159">
        <f t="shared" si="49"/>
        <v>0.98985679327976628</v>
      </c>
      <c r="P159">
        <f t="shared" si="47"/>
        <v>1.0102471456367192</v>
      </c>
      <c r="Q159">
        <f t="shared" si="51"/>
        <v>64</v>
      </c>
      <c r="R159">
        <f t="shared" si="52"/>
        <v>210.73270539352058</v>
      </c>
      <c r="S159">
        <f t="shared" si="53"/>
        <v>246.58112330701044</v>
      </c>
      <c r="T159">
        <f t="shared" si="54"/>
        <v>174.88428748003074</v>
      </c>
      <c r="U159">
        <f t="shared" si="55"/>
        <v>35.848417913489868</v>
      </c>
      <c r="V159">
        <f t="shared" si="56"/>
        <v>35.84841791348984</v>
      </c>
      <c r="W159">
        <f t="shared" si="57"/>
        <v>35.848417913489854</v>
      </c>
    </row>
    <row r="160" spans="1:293">
      <c r="A160" s="9"/>
      <c r="B160" s="4">
        <v>730</v>
      </c>
      <c r="C160" s="4">
        <v>128</v>
      </c>
      <c r="D160" s="4">
        <v>2.3889</v>
      </c>
      <c r="E160" s="8">
        <f t="shared" si="48"/>
        <v>0.49890000000000001</v>
      </c>
      <c r="F160" s="4">
        <v>0.62880000000000003</v>
      </c>
      <c r="G160" s="4">
        <v>0.36899999999999999</v>
      </c>
      <c r="H160" s="4"/>
      <c r="I160" s="4"/>
      <c r="J160" s="4"/>
      <c r="K160" s="3">
        <v>0</v>
      </c>
      <c r="L160" s="3">
        <v>12</v>
      </c>
      <c r="M160" s="3">
        <f t="shared" si="50"/>
        <v>6.486486486486486</v>
      </c>
      <c r="N160" s="15">
        <v>1</v>
      </c>
      <c r="O160">
        <f t="shared" si="49"/>
        <v>0.98985679327976628</v>
      </c>
      <c r="P160">
        <f t="shared" si="47"/>
        <v>1.0102471456367192</v>
      </c>
      <c r="Q160">
        <f t="shared" si="51"/>
        <v>128</v>
      </c>
      <c r="R160">
        <f t="shared" si="52"/>
        <v>308.91256399507949</v>
      </c>
      <c r="S160">
        <f t="shared" si="53"/>
        <v>373.42613851772387</v>
      </c>
      <c r="T160">
        <f t="shared" si="54"/>
        <v>244.39898947243515</v>
      </c>
      <c r="U160">
        <f t="shared" si="55"/>
        <v>64.513574522644376</v>
      </c>
      <c r="V160">
        <f t="shared" si="56"/>
        <v>64.513574522644348</v>
      </c>
      <c r="W160">
        <f t="shared" si="57"/>
        <v>64.513574522644362</v>
      </c>
    </row>
    <row r="161" spans="1:293">
      <c r="A161" s="9"/>
      <c r="B161" s="4">
        <v>730</v>
      </c>
      <c r="C161" s="4">
        <v>256</v>
      </c>
      <c r="D161" s="4">
        <v>1.6111</v>
      </c>
      <c r="E161" s="8">
        <f t="shared" si="48"/>
        <v>0.31379999999999997</v>
      </c>
      <c r="F161" s="4">
        <v>0.29549999999999998</v>
      </c>
      <c r="G161" s="4">
        <v>0.33210000000000001</v>
      </c>
      <c r="H161" s="4"/>
      <c r="I161" s="4"/>
      <c r="J161" s="4"/>
      <c r="K161" s="3">
        <v>0</v>
      </c>
      <c r="L161" s="3">
        <v>12</v>
      </c>
      <c r="M161" s="3">
        <f t="shared" si="50"/>
        <v>6.486486486486486</v>
      </c>
      <c r="N161" s="15">
        <v>1</v>
      </c>
      <c r="O161">
        <f t="shared" si="49"/>
        <v>0.98985679327976628</v>
      </c>
      <c r="P161">
        <f t="shared" si="47"/>
        <v>1.0102471456367192</v>
      </c>
      <c r="Q161">
        <f t="shared" si="51"/>
        <v>256</v>
      </c>
      <c r="R161">
        <f t="shared" si="52"/>
        <v>416.66794914184152</v>
      </c>
      <c r="S161">
        <f t="shared" si="53"/>
        <v>497.82393104284694</v>
      </c>
      <c r="T161">
        <f t="shared" si="54"/>
        <v>335.51196724083604</v>
      </c>
      <c r="U161">
        <f t="shared" si="55"/>
        <v>81.155981901005418</v>
      </c>
      <c r="V161">
        <f t="shared" si="56"/>
        <v>81.155981901005475</v>
      </c>
      <c r="W161">
        <f t="shared" si="57"/>
        <v>81.155981901005447</v>
      </c>
    </row>
    <row r="162" spans="1:293" s="20" customFormat="1">
      <c r="A162" s="27" t="s">
        <v>25</v>
      </c>
      <c r="B162" s="19">
        <v>876</v>
      </c>
      <c r="C162" s="21">
        <v>6.8969258570000003</v>
      </c>
      <c r="D162" s="21">
        <v>6.3502445749999996</v>
      </c>
      <c r="E162" s="21">
        <f>0.03*D162</f>
        <v>0.19050733724999999</v>
      </c>
      <c r="F162" s="19"/>
      <c r="G162" s="19"/>
      <c r="H162" s="21">
        <v>0.17264154600000001</v>
      </c>
      <c r="I162" s="21">
        <v>0.24063146899999999</v>
      </c>
      <c r="J162" s="19">
        <f>(H162+I162)/2</f>
        <v>0.20663650750000001</v>
      </c>
      <c r="K162" s="19">
        <v>36</v>
      </c>
      <c r="L162" s="19">
        <v>10</v>
      </c>
      <c r="M162" s="19">
        <f t="shared" si="50"/>
        <v>5.4054054054054053</v>
      </c>
      <c r="N162" s="24">
        <v>1</v>
      </c>
      <c r="O162" s="20">
        <f t="shared" si="49"/>
        <v>0.90317746530314091</v>
      </c>
      <c r="P162" s="20">
        <f t="shared" si="47"/>
        <v>1.1072021152170373</v>
      </c>
      <c r="Q162" s="20">
        <f t="shared" si="51"/>
        <v>6.8969258570000003</v>
      </c>
      <c r="R162" s="20">
        <f t="shared" si="52"/>
        <v>48.492314844117011</v>
      </c>
      <c r="S162" s="20">
        <f t="shared" si="53"/>
        <v>49.947084289440511</v>
      </c>
      <c r="T162" s="20">
        <f t="shared" si="54"/>
        <v>47.037545398793497</v>
      </c>
      <c r="U162">
        <f t="shared" si="55"/>
        <v>1.4547694453234996</v>
      </c>
      <c r="V162">
        <f t="shared" si="56"/>
        <v>1.4547694453235138</v>
      </c>
      <c r="W162">
        <f t="shared" si="57"/>
        <v>1.4547694453235067</v>
      </c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  <c r="FT162" s="33"/>
      <c r="FU162" s="33"/>
      <c r="FV162" s="33"/>
      <c r="FW162" s="33"/>
      <c r="FX162" s="33"/>
      <c r="FY162" s="33"/>
      <c r="FZ162" s="33"/>
      <c r="GA162" s="33"/>
      <c r="GB162" s="33"/>
      <c r="GC162" s="33"/>
      <c r="GD162" s="33"/>
      <c r="GE162" s="33"/>
      <c r="GF162" s="33"/>
      <c r="GG162" s="33"/>
      <c r="GH162" s="33"/>
      <c r="GI162" s="33"/>
      <c r="GJ162" s="33"/>
      <c r="GK162" s="33"/>
      <c r="GL162" s="33"/>
      <c r="GM162" s="33"/>
      <c r="GN162" s="33"/>
      <c r="GO162" s="33"/>
      <c r="GP162" s="33"/>
      <c r="GQ162" s="33"/>
      <c r="GR162" s="33"/>
      <c r="GS162" s="33"/>
      <c r="GT162" s="33"/>
      <c r="GU162" s="33"/>
      <c r="GV162" s="33"/>
      <c r="GW162" s="33"/>
      <c r="GX162" s="33"/>
      <c r="GY162" s="33"/>
      <c r="GZ162" s="33"/>
      <c r="HA162" s="33"/>
      <c r="HB162" s="33"/>
      <c r="HC162" s="33"/>
      <c r="HD162" s="33"/>
      <c r="HE162" s="33"/>
      <c r="HF162" s="33"/>
      <c r="HG162" s="33"/>
      <c r="HH162" s="33"/>
      <c r="HI162" s="33"/>
      <c r="HJ162" s="33"/>
      <c r="HK162" s="33"/>
      <c r="HL162" s="33"/>
      <c r="HM162" s="33"/>
      <c r="HN162" s="33"/>
      <c r="HO162" s="33"/>
      <c r="HP162" s="33"/>
      <c r="HQ162" s="33"/>
      <c r="HR162" s="33"/>
      <c r="HS162" s="33"/>
      <c r="HT162" s="33"/>
      <c r="HU162" s="33"/>
      <c r="HV162" s="33"/>
      <c r="HW162" s="33"/>
      <c r="HX162" s="33"/>
      <c r="HY162" s="33"/>
      <c r="HZ162" s="33"/>
      <c r="IA162" s="33"/>
      <c r="IB162" s="33"/>
      <c r="IC162" s="33"/>
      <c r="ID162" s="33"/>
      <c r="IE162" s="33"/>
      <c r="IF162" s="33"/>
      <c r="IG162" s="33"/>
      <c r="IH162" s="33"/>
      <c r="II162" s="33"/>
      <c r="IJ162" s="33"/>
      <c r="IK162" s="33"/>
      <c r="IL162" s="33"/>
      <c r="IM162" s="33"/>
      <c r="IN162" s="33"/>
      <c r="IO162" s="33"/>
      <c r="IP162" s="33"/>
      <c r="IQ162" s="33"/>
      <c r="IR162" s="33"/>
      <c r="IS162" s="33"/>
      <c r="IT162" s="33"/>
      <c r="IU162" s="33"/>
      <c r="IV162" s="33"/>
      <c r="IW162" s="33"/>
      <c r="IX162" s="33"/>
      <c r="IY162" s="33"/>
      <c r="IZ162" s="33"/>
      <c r="JA162" s="33"/>
      <c r="JB162" s="33"/>
      <c r="JC162" s="33"/>
      <c r="JD162" s="33"/>
      <c r="JE162" s="33"/>
      <c r="JF162" s="33"/>
      <c r="JG162" s="33"/>
      <c r="JH162" s="33"/>
      <c r="JI162" s="33"/>
      <c r="JJ162" s="33"/>
      <c r="JK162" s="33"/>
      <c r="JL162" s="33"/>
      <c r="JM162" s="33"/>
      <c r="JN162" s="33"/>
      <c r="JO162" s="33"/>
      <c r="JP162" s="33"/>
      <c r="JQ162" s="33"/>
      <c r="JR162" s="33"/>
      <c r="JS162" s="33"/>
      <c r="JT162" s="33"/>
      <c r="JU162" s="33"/>
      <c r="JV162" s="33"/>
      <c r="JW162" s="33"/>
      <c r="JX162" s="33"/>
      <c r="JY162" s="33"/>
      <c r="JZ162" s="33"/>
      <c r="KA162" s="33"/>
      <c r="KB162" s="33"/>
      <c r="KC162" s="33"/>
      <c r="KD162" s="33"/>
      <c r="KE162" s="33"/>
      <c r="KF162" s="33"/>
      <c r="KG162" s="33"/>
    </row>
    <row r="163" spans="1:293" s="20" customFormat="1">
      <c r="A163" s="66" t="s">
        <v>65</v>
      </c>
      <c r="B163" s="19">
        <v>876</v>
      </c>
      <c r="C163" s="21">
        <v>9.4765358469999992</v>
      </c>
      <c r="D163" s="21">
        <v>5.8894942529999996</v>
      </c>
      <c r="E163" s="21">
        <f t="shared" ref="E163:E180" si="58">0.03*D163</f>
        <v>0.17668482758999998</v>
      </c>
      <c r="F163" s="19"/>
      <c r="G163" s="19"/>
      <c r="H163" s="21">
        <v>0.234007083</v>
      </c>
      <c r="I163" s="21">
        <v>0.22948606999999999</v>
      </c>
      <c r="J163" s="19">
        <f t="shared" ref="J163:J180" si="59">(H163+I163)/2</f>
        <v>0.2317465765</v>
      </c>
      <c r="K163" s="19">
        <v>36</v>
      </c>
      <c r="L163" s="19">
        <v>10</v>
      </c>
      <c r="M163" s="19">
        <f t="shared" si="50"/>
        <v>5.4054054054054053</v>
      </c>
      <c r="N163" s="24">
        <v>1</v>
      </c>
      <c r="O163" s="20">
        <f t="shared" si="49"/>
        <v>0.90317746530314091</v>
      </c>
      <c r="P163" s="20">
        <f t="shared" ref="P163:P180" si="60">N163/O163</f>
        <v>1.1072021152170373</v>
      </c>
      <c r="Q163" s="20">
        <f t="shared" si="51"/>
        <v>9.4765358469999992</v>
      </c>
      <c r="R163" s="20">
        <f t="shared" si="52"/>
        <v>61.795168229227606</v>
      </c>
      <c r="S163" s="20">
        <f t="shared" si="53"/>
        <v>63.649023276104437</v>
      </c>
      <c r="T163" s="20">
        <f t="shared" si="54"/>
        <v>59.941313182350783</v>
      </c>
      <c r="U163">
        <f t="shared" si="55"/>
        <v>1.8538550468768307</v>
      </c>
      <c r="V163">
        <f t="shared" si="56"/>
        <v>1.8538550468768236</v>
      </c>
      <c r="W163">
        <f t="shared" si="57"/>
        <v>1.8538550468768271</v>
      </c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  <c r="FT163" s="33"/>
      <c r="FU163" s="33"/>
      <c r="FV163" s="33"/>
      <c r="FW163" s="33"/>
      <c r="FX163" s="33"/>
      <c r="FY163" s="33"/>
      <c r="FZ163" s="33"/>
      <c r="GA163" s="33"/>
      <c r="GB163" s="33"/>
      <c r="GC163" s="33"/>
      <c r="GD163" s="33"/>
      <c r="GE163" s="33"/>
      <c r="GF163" s="33"/>
      <c r="GG163" s="33"/>
      <c r="GH163" s="33"/>
      <c r="GI163" s="33"/>
      <c r="GJ163" s="33"/>
      <c r="GK163" s="33"/>
      <c r="GL163" s="33"/>
      <c r="GM163" s="33"/>
      <c r="GN163" s="33"/>
      <c r="GO163" s="33"/>
      <c r="GP163" s="33"/>
      <c r="GQ163" s="33"/>
      <c r="GR163" s="33"/>
      <c r="GS163" s="33"/>
      <c r="GT163" s="33"/>
      <c r="GU163" s="33"/>
      <c r="GV163" s="33"/>
      <c r="GW163" s="33"/>
      <c r="GX163" s="33"/>
      <c r="GY163" s="33"/>
      <c r="GZ163" s="33"/>
      <c r="HA163" s="33"/>
      <c r="HB163" s="33"/>
      <c r="HC163" s="33"/>
      <c r="HD163" s="33"/>
      <c r="HE163" s="33"/>
      <c r="HF163" s="33"/>
      <c r="HG163" s="33"/>
      <c r="HH163" s="33"/>
      <c r="HI163" s="33"/>
      <c r="HJ163" s="33"/>
      <c r="HK163" s="33"/>
      <c r="HL163" s="33"/>
      <c r="HM163" s="33"/>
      <c r="HN163" s="33"/>
      <c r="HO163" s="33"/>
      <c r="HP163" s="33"/>
      <c r="HQ163" s="33"/>
      <c r="HR163" s="33"/>
      <c r="HS163" s="33"/>
      <c r="HT163" s="33"/>
      <c r="HU163" s="33"/>
      <c r="HV163" s="33"/>
      <c r="HW163" s="33"/>
      <c r="HX163" s="33"/>
      <c r="HY163" s="33"/>
      <c r="HZ163" s="33"/>
      <c r="IA163" s="33"/>
      <c r="IB163" s="33"/>
      <c r="IC163" s="33"/>
      <c r="ID163" s="33"/>
      <c r="IE163" s="33"/>
      <c r="IF163" s="33"/>
      <c r="IG163" s="33"/>
      <c r="IH163" s="33"/>
      <c r="II163" s="33"/>
      <c r="IJ163" s="33"/>
      <c r="IK163" s="33"/>
      <c r="IL163" s="33"/>
      <c r="IM163" s="33"/>
      <c r="IN163" s="33"/>
      <c r="IO163" s="33"/>
      <c r="IP163" s="33"/>
      <c r="IQ163" s="33"/>
      <c r="IR163" s="33"/>
      <c r="IS163" s="33"/>
      <c r="IT163" s="33"/>
      <c r="IU163" s="33"/>
      <c r="IV163" s="33"/>
      <c r="IW163" s="33"/>
      <c r="IX163" s="33"/>
      <c r="IY163" s="33"/>
      <c r="IZ163" s="33"/>
      <c r="JA163" s="33"/>
      <c r="JB163" s="33"/>
      <c r="JC163" s="33"/>
      <c r="JD163" s="33"/>
      <c r="JE163" s="33"/>
      <c r="JF163" s="33"/>
      <c r="JG163" s="33"/>
      <c r="JH163" s="33"/>
      <c r="JI163" s="33"/>
      <c r="JJ163" s="33"/>
      <c r="JK163" s="33"/>
      <c r="JL163" s="33"/>
      <c r="JM163" s="33"/>
      <c r="JN163" s="33"/>
      <c r="JO163" s="33"/>
      <c r="JP163" s="33"/>
      <c r="JQ163" s="33"/>
      <c r="JR163" s="33"/>
      <c r="JS163" s="33"/>
      <c r="JT163" s="33"/>
      <c r="JU163" s="33"/>
      <c r="JV163" s="33"/>
      <c r="JW163" s="33"/>
      <c r="JX163" s="33"/>
      <c r="JY163" s="33"/>
      <c r="JZ163" s="33"/>
      <c r="KA163" s="33"/>
      <c r="KB163" s="33"/>
      <c r="KC163" s="33"/>
      <c r="KD163" s="33"/>
      <c r="KE163" s="33"/>
      <c r="KF163" s="33"/>
      <c r="KG163" s="33"/>
    </row>
    <row r="164" spans="1:293" s="20" customFormat="1">
      <c r="A164" s="25"/>
      <c r="B164" s="19">
        <v>876</v>
      </c>
      <c r="C164" s="21">
        <v>12.07362603</v>
      </c>
      <c r="D164" s="21">
        <v>5.5268803350000004</v>
      </c>
      <c r="E164" s="21">
        <f t="shared" si="58"/>
        <v>0.16580641005000002</v>
      </c>
      <c r="F164" s="19"/>
      <c r="G164" s="19"/>
      <c r="H164" s="21">
        <v>0.273496925</v>
      </c>
      <c r="I164" s="21">
        <v>0.32144856900000002</v>
      </c>
      <c r="J164" s="19">
        <f t="shared" si="59"/>
        <v>0.29747274700000004</v>
      </c>
      <c r="K164" s="19">
        <v>36</v>
      </c>
      <c r="L164" s="19">
        <v>10</v>
      </c>
      <c r="M164" s="19">
        <f t="shared" si="50"/>
        <v>5.4054054054054053</v>
      </c>
      <c r="N164" s="24">
        <v>1</v>
      </c>
      <c r="O164" s="20">
        <f t="shared" si="49"/>
        <v>0.90317746530314091</v>
      </c>
      <c r="P164" s="20">
        <f t="shared" si="60"/>
        <v>1.1072021152170373</v>
      </c>
      <c r="Q164" s="20">
        <f t="shared" si="51"/>
        <v>12.07362603</v>
      </c>
      <c r="R164" s="20">
        <f t="shared" si="52"/>
        <v>73.883028353629427</v>
      </c>
      <c r="S164" s="20">
        <f t="shared" si="53"/>
        <v>76.09951920423832</v>
      </c>
      <c r="T164" s="20">
        <f t="shared" si="54"/>
        <v>71.66653750302055</v>
      </c>
      <c r="U164">
        <f t="shared" si="55"/>
        <v>2.2164908506088921</v>
      </c>
      <c r="V164">
        <f t="shared" si="56"/>
        <v>2.2164908506088778</v>
      </c>
      <c r="W164">
        <f t="shared" si="57"/>
        <v>2.216490850608885</v>
      </c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33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  <c r="HU164" s="33"/>
      <c r="HV164" s="33"/>
      <c r="HW164" s="33"/>
      <c r="HX164" s="33"/>
      <c r="HY164" s="33"/>
      <c r="HZ164" s="33"/>
      <c r="IA164" s="33"/>
      <c r="IB164" s="33"/>
      <c r="IC164" s="33"/>
      <c r="ID164" s="33"/>
      <c r="IE164" s="33"/>
      <c r="IF164" s="33"/>
      <c r="IG164" s="33"/>
      <c r="IH164" s="33"/>
      <c r="II164" s="33"/>
      <c r="IJ164" s="33"/>
      <c r="IK164" s="33"/>
      <c r="IL164" s="33"/>
      <c r="IM164" s="33"/>
      <c r="IN164" s="33"/>
      <c r="IO164" s="33"/>
      <c r="IP164" s="33"/>
      <c r="IQ164" s="33"/>
      <c r="IR164" s="33"/>
      <c r="IS164" s="33"/>
      <c r="IT164" s="33"/>
      <c r="IU164" s="33"/>
      <c r="IV164" s="33"/>
      <c r="IW164" s="33"/>
      <c r="IX164" s="33"/>
      <c r="IY164" s="33"/>
      <c r="IZ164" s="33"/>
      <c r="JA164" s="33"/>
      <c r="JB164" s="33"/>
      <c r="JC164" s="33"/>
      <c r="JD164" s="33"/>
      <c r="JE164" s="33"/>
      <c r="JF164" s="33"/>
      <c r="JG164" s="33"/>
      <c r="JH164" s="33"/>
      <c r="JI164" s="33"/>
      <c r="JJ164" s="33"/>
      <c r="JK164" s="33"/>
      <c r="JL164" s="33"/>
      <c r="JM164" s="33"/>
      <c r="JN164" s="33"/>
      <c r="JO164" s="33"/>
      <c r="JP164" s="33"/>
      <c r="JQ164" s="33"/>
      <c r="JR164" s="33"/>
      <c r="JS164" s="33"/>
      <c r="JT164" s="33"/>
      <c r="JU164" s="33"/>
      <c r="JV164" s="33"/>
      <c r="JW164" s="33"/>
      <c r="JX164" s="33"/>
      <c r="JY164" s="33"/>
      <c r="JZ164" s="33"/>
      <c r="KA164" s="33"/>
      <c r="KB164" s="33"/>
      <c r="KC164" s="33"/>
      <c r="KD164" s="33"/>
      <c r="KE164" s="33"/>
      <c r="KF164" s="33"/>
      <c r="KG164" s="33"/>
    </row>
    <row r="165" spans="1:293" s="20" customFormat="1">
      <c r="A165" s="25"/>
      <c r="B165" s="19">
        <v>876</v>
      </c>
      <c r="C165" s="21">
        <v>14.48470129</v>
      </c>
      <c r="D165" s="21">
        <v>5.3006628730000003</v>
      </c>
      <c r="E165" s="21">
        <f t="shared" si="58"/>
        <v>0.15901988619000001</v>
      </c>
      <c r="F165" s="19"/>
      <c r="G165" s="19"/>
      <c r="H165" s="21">
        <v>0.29859004500000003</v>
      </c>
      <c r="I165" s="21">
        <v>0.30426218999999999</v>
      </c>
      <c r="J165" s="19">
        <f t="shared" si="59"/>
        <v>0.30142611750000003</v>
      </c>
      <c r="K165" s="19">
        <v>36</v>
      </c>
      <c r="L165" s="19">
        <v>10</v>
      </c>
      <c r="M165" s="19">
        <f t="shared" si="50"/>
        <v>5.4054054054054053</v>
      </c>
      <c r="N165" s="24">
        <v>1</v>
      </c>
      <c r="O165" s="20">
        <f t="shared" si="49"/>
        <v>0.90317746530314091</v>
      </c>
      <c r="P165" s="20">
        <f t="shared" si="60"/>
        <v>1.1072021152170373</v>
      </c>
      <c r="Q165" s="20">
        <f t="shared" si="51"/>
        <v>14.48470129</v>
      </c>
      <c r="R165" s="20">
        <f t="shared" si="52"/>
        <v>85.009337925219825</v>
      </c>
      <c r="S165" s="20">
        <f t="shared" si="53"/>
        <v>87.559618062976426</v>
      </c>
      <c r="T165" s="20">
        <f t="shared" si="54"/>
        <v>82.459057787463223</v>
      </c>
      <c r="U165">
        <f t="shared" si="55"/>
        <v>2.5502801377566016</v>
      </c>
      <c r="V165">
        <f t="shared" si="56"/>
        <v>2.5502801377566016</v>
      </c>
      <c r="W165">
        <f t="shared" si="57"/>
        <v>2.5502801377566016</v>
      </c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33"/>
      <c r="FY165" s="33"/>
      <c r="FZ165" s="33"/>
      <c r="GA165" s="33"/>
      <c r="GB165" s="33"/>
      <c r="GC165" s="33"/>
      <c r="GD165" s="33"/>
      <c r="GE165" s="33"/>
      <c r="GF165" s="33"/>
      <c r="GG165" s="33"/>
      <c r="GH165" s="33"/>
      <c r="GI165" s="33"/>
      <c r="GJ165" s="33"/>
      <c r="GK165" s="33"/>
      <c r="GL165" s="33"/>
      <c r="GM165" s="33"/>
      <c r="GN165" s="33"/>
      <c r="GO165" s="33"/>
      <c r="GP165" s="33"/>
      <c r="GQ165" s="33"/>
      <c r="GR165" s="33"/>
      <c r="GS165" s="33"/>
      <c r="GT165" s="33"/>
      <c r="GU165" s="33"/>
      <c r="GV165" s="33"/>
      <c r="GW165" s="33"/>
      <c r="GX165" s="33"/>
      <c r="GY165" s="33"/>
      <c r="GZ165" s="33"/>
      <c r="HA165" s="33"/>
      <c r="HB165" s="33"/>
      <c r="HC165" s="33"/>
      <c r="HD165" s="33"/>
      <c r="HE165" s="33"/>
      <c r="HF165" s="33"/>
      <c r="HG165" s="33"/>
      <c r="HH165" s="33"/>
      <c r="HI165" s="33"/>
      <c r="HJ165" s="33"/>
      <c r="HK165" s="33"/>
      <c r="HL165" s="33"/>
      <c r="HM165" s="33"/>
      <c r="HN165" s="33"/>
      <c r="HO165" s="33"/>
      <c r="HP165" s="33"/>
      <c r="HQ165" s="33"/>
      <c r="HR165" s="33"/>
      <c r="HS165" s="33"/>
      <c r="HT165" s="33"/>
      <c r="HU165" s="33"/>
      <c r="HV165" s="33"/>
      <c r="HW165" s="33"/>
      <c r="HX165" s="33"/>
      <c r="HY165" s="33"/>
      <c r="HZ165" s="33"/>
      <c r="IA165" s="33"/>
      <c r="IB165" s="33"/>
      <c r="IC165" s="33"/>
      <c r="ID165" s="33"/>
      <c r="IE165" s="33"/>
      <c r="IF165" s="33"/>
      <c r="IG165" s="33"/>
      <c r="IH165" s="33"/>
      <c r="II165" s="33"/>
      <c r="IJ165" s="33"/>
      <c r="IK165" s="33"/>
      <c r="IL165" s="33"/>
      <c r="IM165" s="33"/>
      <c r="IN165" s="33"/>
      <c r="IO165" s="33"/>
      <c r="IP165" s="33"/>
      <c r="IQ165" s="33"/>
      <c r="IR165" s="33"/>
      <c r="IS165" s="33"/>
      <c r="IT165" s="33"/>
      <c r="IU165" s="33"/>
      <c r="IV165" s="33"/>
      <c r="IW165" s="33"/>
      <c r="IX165" s="33"/>
      <c r="IY165" s="33"/>
      <c r="IZ165" s="33"/>
      <c r="JA165" s="33"/>
      <c r="JB165" s="33"/>
      <c r="JC165" s="33"/>
      <c r="JD165" s="33"/>
      <c r="JE165" s="33"/>
      <c r="JF165" s="33"/>
      <c r="JG165" s="33"/>
      <c r="JH165" s="33"/>
      <c r="JI165" s="33"/>
      <c r="JJ165" s="33"/>
      <c r="JK165" s="33"/>
      <c r="JL165" s="33"/>
      <c r="JM165" s="33"/>
      <c r="JN165" s="33"/>
      <c r="JO165" s="33"/>
      <c r="JP165" s="33"/>
      <c r="JQ165" s="33"/>
      <c r="JR165" s="33"/>
      <c r="JS165" s="33"/>
      <c r="JT165" s="33"/>
      <c r="JU165" s="33"/>
      <c r="JV165" s="33"/>
      <c r="JW165" s="33"/>
      <c r="JX165" s="33"/>
      <c r="JY165" s="33"/>
      <c r="JZ165" s="33"/>
      <c r="KA165" s="33"/>
      <c r="KB165" s="33"/>
      <c r="KC165" s="33"/>
      <c r="KD165" s="33"/>
      <c r="KE165" s="33"/>
      <c r="KF165" s="33"/>
      <c r="KG165" s="33"/>
    </row>
    <row r="166" spans="1:293" s="20" customFormat="1">
      <c r="A166" s="25"/>
      <c r="B166" s="19">
        <v>876</v>
      </c>
      <c r="C166" s="21">
        <v>16.804226799999999</v>
      </c>
      <c r="D166" s="21">
        <v>5.0681431080000001</v>
      </c>
      <c r="E166" s="21">
        <f t="shared" si="58"/>
        <v>0.15204429323999999</v>
      </c>
      <c r="F166" s="19"/>
      <c r="G166" s="19"/>
      <c r="H166" s="21">
        <v>0.50352016600000005</v>
      </c>
      <c r="I166" s="21">
        <v>0.34483102300000001</v>
      </c>
      <c r="J166" s="19">
        <f t="shared" si="59"/>
        <v>0.42417559450000003</v>
      </c>
      <c r="K166" s="19">
        <v>36</v>
      </c>
      <c r="L166" s="19">
        <v>10</v>
      </c>
      <c r="M166" s="19">
        <f t="shared" si="50"/>
        <v>5.4054054054054053</v>
      </c>
      <c r="N166" s="24">
        <v>1</v>
      </c>
      <c r="O166" s="20">
        <f t="shared" si="49"/>
        <v>0.90317746530314091</v>
      </c>
      <c r="P166" s="20">
        <f t="shared" si="60"/>
        <v>1.1072021152170373</v>
      </c>
      <c r="Q166" s="20">
        <f t="shared" si="51"/>
        <v>16.804226799999999</v>
      </c>
      <c r="R166" s="20">
        <f t="shared" si="52"/>
        <v>94.296225839850678</v>
      </c>
      <c r="S166" s="20">
        <f t="shared" si="53"/>
        <v>97.125112615046206</v>
      </c>
      <c r="T166" s="20">
        <f t="shared" si="54"/>
        <v>91.467339064655164</v>
      </c>
      <c r="U166">
        <f t="shared" si="55"/>
        <v>2.828886775195528</v>
      </c>
      <c r="V166">
        <f t="shared" si="56"/>
        <v>2.8288867751955138</v>
      </c>
      <c r="W166">
        <f t="shared" si="57"/>
        <v>2.8288867751955209</v>
      </c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33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33"/>
      <c r="IA166" s="33"/>
      <c r="IB166" s="33"/>
      <c r="IC166" s="33"/>
      <c r="ID166" s="33"/>
      <c r="IE166" s="33"/>
      <c r="IF166" s="33"/>
      <c r="IG166" s="33"/>
      <c r="IH166" s="33"/>
      <c r="II166" s="33"/>
      <c r="IJ166" s="33"/>
      <c r="IK166" s="33"/>
      <c r="IL166" s="33"/>
      <c r="IM166" s="33"/>
      <c r="IN166" s="33"/>
      <c r="IO166" s="33"/>
      <c r="IP166" s="33"/>
      <c r="IQ166" s="33"/>
      <c r="IR166" s="33"/>
      <c r="IS166" s="33"/>
      <c r="IT166" s="33"/>
      <c r="IU166" s="33"/>
      <c r="IV166" s="33"/>
      <c r="IW166" s="33"/>
      <c r="IX166" s="33"/>
      <c r="IY166" s="33"/>
      <c r="IZ166" s="33"/>
      <c r="JA166" s="33"/>
      <c r="JB166" s="33"/>
      <c r="JC166" s="33"/>
      <c r="JD166" s="33"/>
      <c r="JE166" s="33"/>
      <c r="JF166" s="33"/>
      <c r="JG166" s="33"/>
      <c r="JH166" s="33"/>
      <c r="JI166" s="33"/>
      <c r="JJ166" s="33"/>
      <c r="JK166" s="33"/>
      <c r="JL166" s="33"/>
      <c r="JM166" s="33"/>
      <c r="JN166" s="33"/>
      <c r="JO166" s="33"/>
      <c r="JP166" s="33"/>
      <c r="JQ166" s="33"/>
      <c r="JR166" s="33"/>
      <c r="JS166" s="33"/>
      <c r="JT166" s="33"/>
      <c r="JU166" s="33"/>
      <c r="JV166" s="33"/>
      <c r="JW166" s="33"/>
      <c r="JX166" s="33"/>
      <c r="JY166" s="33"/>
      <c r="JZ166" s="33"/>
      <c r="KA166" s="33"/>
      <c r="KB166" s="33"/>
      <c r="KC166" s="33"/>
      <c r="KD166" s="33"/>
      <c r="KE166" s="33"/>
      <c r="KF166" s="33"/>
      <c r="KG166" s="33"/>
    </row>
    <row r="167" spans="1:293" s="20" customFormat="1">
      <c r="A167" s="25"/>
      <c r="B167" s="19">
        <v>876</v>
      </c>
      <c r="C167" s="21">
        <v>19.289307390000001</v>
      </c>
      <c r="D167" s="21">
        <v>4.9266536329999999</v>
      </c>
      <c r="E167" s="21">
        <f t="shared" si="58"/>
        <v>0.14779960899</v>
      </c>
      <c r="F167" s="19"/>
      <c r="G167" s="19"/>
      <c r="H167" s="21">
        <v>0.16785602499999999</v>
      </c>
      <c r="I167" s="21">
        <v>0.29391602999999999</v>
      </c>
      <c r="J167" s="19">
        <f t="shared" si="59"/>
        <v>0.23088602749999998</v>
      </c>
      <c r="K167" s="19">
        <v>36</v>
      </c>
      <c r="L167" s="19">
        <v>10</v>
      </c>
      <c r="M167" s="19">
        <f t="shared" si="50"/>
        <v>5.4054054054054053</v>
      </c>
      <c r="N167" s="24">
        <v>1</v>
      </c>
      <c r="O167" s="20">
        <f t="shared" si="49"/>
        <v>0.90317746530314091</v>
      </c>
      <c r="P167" s="20">
        <f t="shared" si="60"/>
        <v>1.1072021152170373</v>
      </c>
      <c r="Q167" s="20">
        <f t="shared" si="51"/>
        <v>19.289307390000001</v>
      </c>
      <c r="R167" s="20">
        <f t="shared" si="52"/>
        <v>105.21933947842793</v>
      </c>
      <c r="S167" s="20">
        <f t="shared" si="53"/>
        <v>108.37591966278076</v>
      </c>
      <c r="T167" s="20">
        <f t="shared" si="54"/>
        <v>102.06275929407509</v>
      </c>
      <c r="U167">
        <f t="shared" si="55"/>
        <v>3.1565801843528334</v>
      </c>
      <c r="V167">
        <f t="shared" si="56"/>
        <v>3.1565801843528334</v>
      </c>
      <c r="W167">
        <f t="shared" si="57"/>
        <v>3.1565801843528334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  <c r="FT167" s="33"/>
      <c r="FU167" s="33"/>
      <c r="FV167" s="33"/>
      <c r="FW167" s="33"/>
      <c r="FX167" s="33"/>
      <c r="FY167" s="33"/>
      <c r="FZ167" s="33"/>
      <c r="GA167" s="33"/>
      <c r="GB167" s="33"/>
      <c r="GC167" s="33"/>
      <c r="GD167" s="33"/>
      <c r="GE167" s="33"/>
      <c r="GF167" s="33"/>
      <c r="GG167" s="33"/>
      <c r="GH167" s="33"/>
      <c r="GI167" s="33"/>
      <c r="GJ167" s="33"/>
      <c r="GK167" s="33"/>
      <c r="GL167" s="33"/>
      <c r="GM167" s="33"/>
      <c r="GN167" s="33"/>
      <c r="GO167" s="33"/>
      <c r="GP167" s="33"/>
      <c r="GQ167" s="33"/>
      <c r="GR167" s="33"/>
      <c r="GS167" s="33"/>
      <c r="GT167" s="33"/>
      <c r="GU167" s="33"/>
      <c r="GV167" s="33"/>
      <c r="GW167" s="33"/>
      <c r="GX167" s="33"/>
      <c r="GY167" s="33"/>
      <c r="GZ167" s="33"/>
      <c r="HA167" s="33"/>
      <c r="HB167" s="33"/>
      <c r="HC167" s="33"/>
      <c r="HD167" s="33"/>
      <c r="HE167" s="33"/>
      <c r="HF167" s="33"/>
      <c r="HG167" s="33"/>
      <c r="HH167" s="33"/>
      <c r="HI167" s="33"/>
      <c r="HJ167" s="33"/>
      <c r="HK167" s="33"/>
      <c r="HL167" s="33"/>
      <c r="HM167" s="33"/>
      <c r="HN167" s="33"/>
      <c r="HO167" s="33"/>
      <c r="HP167" s="33"/>
      <c r="HQ167" s="33"/>
      <c r="HR167" s="33"/>
      <c r="HS167" s="33"/>
      <c r="HT167" s="33"/>
      <c r="HU167" s="33"/>
      <c r="HV167" s="33"/>
      <c r="HW167" s="33"/>
      <c r="HX167" s="33"/>
      <c r="HY167" s="33"/>
      <c r="HZ167" s="33"/>
      <c r="IA167" s="33"/>
      <c r="IB167" s="33"/>
      <c r="IC167" s="33"/>
      <c r="ID167" s="33"/>
      <c r="IE167" s="33"/>
      <c r="IF167" s="33"/>
      <c r="IG167" s="33"/>
      <c r="IH167" s="33"/>
      <c r="II167" s="33"/>
      <c r="IJ167" s="33"/>
      <c r="IK167" s="33"/>
      <c r="IL167" s="33"/>
      <c r="IM167" s="33"/>
      <c r="IN167" s="33"/>
      <c r="IO167" s="33"/>
      <c r="IP167" s="33"/>
      <c r="IQ167" s="33"/>
      <c r="IR167" s="33"/>
      <c r="IS167" s="33"/>
      <c r="IT167" s="33"/>
      <c r="IU167" s="33"/>
      <c r="IV167" s="33"/>
      <c r="IW167" s="33"/>
      <c r="IX167" s="33"/>
      <c r="IY167" s="33"/>
      <c r="IZ167" s="33"/>
      <c r="JA167" s="33"/>
      <c r="JB167" s="33"/>
      <c r="JC167" s="33"/>
      <c r="JD167" s="33"/>
      <c r="JE167" s="33"/>
      <c r="JF167" s="33"/>
      <c r="JG167" s="33"/>
      <c r="JH167" s="33"/>
      <c r="JI167" s="33"/>
      <c r="JJ167" s="33"/>
      <c r="JK167" s="33"/>
      <c r="JL167" s="33"/>
      <c r="JM167" s="33"/>
      <c r="JN167" s="33"/>
      <c r="JO167" s="33"/>
      <c r="JP167" s="33"/>
      <c r="JQ167" s="33"/>
      <c r="JR167" s="33"/>
      <c r="JS167" s="33"/>
      <c r="JT167" s="33"/>
      <c r="JU167" s="33"/>
      <c r="JV167" s="33"/>
      <c r="JW167" s="33"/>
      <c r="JX167" s="33"/>
      <c r="JY167" s="33"/>
      <c r="JZ167" s="33"/>
      <c r="KA167" s="33"/>
      <c r="KB167" s="33"/>
      <c r="KC167" s="33"/>
      <c r="KD167" s="33"/>
      <c r="KE167" s="33"/>
      <c r="KF167" s="33"/>
      <c r="KG167" s="33"/>
    </row>
    <row r="168" spans="1:293" s="20" customFormat="1">
      <c r="A168" s="25"/>
      <c r="B168" s="19">
        <v>876</v>
      </c>
      <c r="C168" s="21">
        <v>21.551985330000001</v>
      </c>
      <c r="D168" s="21">
        <v>4.8310016869999997</v>
      </c>
      <c r="E168" s="21">
        <f t="shared" si="58"/>
        <v>0.14493005060999997</v>
      </c>
      <c r="F168" s="19"/>
      <c r="G168" s="19"/>
      <c r="H168" s="21">
        <v>0.37942098400000002</v>
      </c>
      <c r="I168" s="21">
        <v>0.324932677</v>
      </c>
      <c r="J168" s="19">
        <f t="shared" si="59"/>
        <v>0.35217683050000004</v>
      </c>
      <c r="K168" s="19">
        <v>36</v>
      </c>
      <c r="L168" s="19">
        <v>10</v>
      </c>
      <c r="M168" s="19">
        <f t="shared" si="50"/>
        <v>5.4054054054054053</v>
      </c>
      <c r="N168" s="24">
        <v>1</v>
      </c>
      <c r="O168" s="20">
        <f t="shared" si="49"/>
        <v>0.90317746530314091</v>
      </c>
      <c r="P168" s="20">
        <f t="shared" si="60"/>
        <v>1.1072021152170373</v>
      </c>
      <c r="Q168" s="20">
        <f t="shared" si="51"/>
        <v>21.551985330000001</v>
      </c>
      <c r="R168" s="20">
        <f t="shared" si="52"/>
        <v>115.27931274556697</v>
      </c>
      <c r="S168" s="20">
        <f t="shared" si="53"/>
        <v>118.73769212793397</v>
      </c>
      <c r="T168" s="20">
        <f t="shared" si="54"/>
        <v>111.82093336319996</v>
      </c>
      <c r="U168">
        <f t="shared" si="55"/>
        <v>3.4583793823669993</v>
      </c>
      <c r="V168">
        <f t="shared" si="56"/>
        <v>3.4583793823670135</v>
      </c>
      <c r="W168">
        <f t="shared" si="57"/>
        <v>3.4583793823670064</v>
      </c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33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  <c r="HU168" s="33"/>
      <c r="HV168" s="33"/>
      <c r="HW168" s="33"/>
      <c r="HX168" s="33"/>
      <c r="HY168" s="33"/>
      <c r="HZ168" s="33"/>
      <c r="IA168" s="33"/>
      <c r="IB168" s="33"/>
      <c r="IC168" s="33"/>
      <c r="ID168" s="33"/>
      <c r="IE168" s="33"/>
      <c r="IF168" s="33"/>
      <c r="IG168" s="33"/>
      <c r="IH168" s="33"/>
      <c r="II168" s="33"/>
      <c r="IJ168" s="33"/>
      <c r="IK168" s="33"/>
      <c r="IL168" s="33"/>
      <c r="IM168" s="33"/>
      <c r="IN168" s="33"/>
      <c r="IO168" s="33"/>
      <c r="IP168" s="33"/>
      <c r="IQ168" s="33"/>
      <c r="IR168" s="33"/>
      <c r="IS168" s="33"/>
      <c r="IT168" s="33"/>
      <c r="IU168" s="33"/>
      <c r="IV168" s="33"/>
      <c r="IW168" s="33"/>
      <c r="IX168" s="33"/>
      <c r="IY168" s="33"/>
      <c r="IZ168" s="33"/>
      <c r="JA168" s="33"/>
      <c r="JB168" s="33"/>
      <c r="JC168" s="33"/>
      <c r="JD168" s="33"/>
      <c r="JE168" s="33"/>
      <c r="JF168" s="33"/>
      <c r="JG168" s="33"/>
      <c r="JH168" s="33"/>
      <c r="JI168" s="33"/>
      <c r="JJ168" s="33"/>
      <c r="JK168" s="33"/>
      <c r="JL168" s="33"/>
      <c r="JM168" s="33"/>
      <c r="JN168" s="33"/>
      <c r="JO168" s="33"/>
      <c r="JP168" s="33"/>
      <c r="JQ168" s="33"/>
      <c r="JR168" s="33"/>
      <c r="JS168" s="33"/>
      <c r="JT168" s="33"/>
      <c r="JU168" s="33"/>
      <c r="JV168" s="33"/>
      <c r="JW168" s="33"/>
      <c r="JX168" s="33"/>
      <c r="JY168" s="33"/>
      <c r="JZ168" s="33"/>
      <c r="KA168" s="33"/>
      <c r="KB168" s="33"/>
      <c r="KC168" s="33"/>
      <c r="KD168" s="33"/>
      <c r="KE168" s="33"/>
      <c r="KF168" s="33"/>
      <c r="KG168" s="33"/>
    </row>
    <row r="169" spans="1:293" s="20" customFormat="1">
      <c r="A169" s="25"/>
      <c r="B169" s="19">
        <v>876</v>
      </c>
      <c r="C169" s="21">
        <v>23.81931702</v>
      </c>
      <c r="D169" s="21">
        <v>4.7479884739999996</v>
      </c>
      <c r="E169" s="21">
        <f t="shared" si="58"/>
        <v>0.14243965421999999</v>
      </c>
      <c r="F169" s="19"/>
      <c r="G169" s="19"/>
      <c r="H169" s="21">
        <v>0.33487066599999998</v>
      </c>
      <c r="I169" s="21">
        <v>0.32434484699999999</v>
      </c>
      <c r="J169" s="19">
        <f t="shared" si="59"/>
        <v>0.32960775649999996</v>
      </c>
      <c r="K169" s="19">
        <v>36</v>
      </c>
      <c r="L169" s="19">
        <v>10</v>
      </c>
      <c r="M169" s="19">
        <f t="shared" si="50"/>
        <v>5.4054054054054053</v>
      </c>
      <c r="N169" s="24">
        <v>1</v>
      </c>
      <c r="O169" s="20">
        <f t="shared" si="49"/>
        <v>0.90317746530314091</v>
      </c>
      <c r="P169" s="20">
        <f t="shared" si="60"/>
        <v>1.1072021152170373</v>
      </c>
      <c r="Q169" s="20">
        <f t="shared" si="51"/>
        <v>23.81931702</v>
      </c>
      <c r="R169" s="20">
        <f t="shared" si="52"/>
        <v>125.21774182170653</v>
      </c>
      <c r="S169" s="20">
        <f t="shared" si="53"/>
        <v>128.97427407635774</v>
      </c>
      <c r="T169" s="20">
        <f t="shared" si="54"/>
        <v>121.46120956705532</v>
      </c>
      <c r="U169">
        <f t="shared" si="55"/>
        <v>3.7565322546512192</v>
      </c>
      <c r="V169">
        <f t="shared" si="56"/>
        <v>3.756532254651205</v>
      </c>
      <c r="W169">
        <f t="shared" si="57"/>
        <v>3.7565322546512121</v>
      </c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  <c r="FT169" s="33"/>
      <c r="FU169" s="33"/>
      <c r="FV169" s="33"/>
      <c r="FW169" s="33"/>
      <c r="FX169" s="33"/>
      <c r="FY169" s="33"/>
      <c r="FZ169" s="33"/>
      <c r="GA169" s="33"/>
      <c r="GB169" s="33"/>
      <c r="GC169" s="33"/>
      <c r="GD169" s="33"/>
      <c r="GE169" s="33"/>
      <c r="GF169" s="33"/>
      <c r="GG169" s="33"/>
      <c r="GH169" s="33"/>
      <c r="GI169" s="33"/>
      <c r="GJ169" s="33"/>
      <c r="GK169" s="33"/>
      <c r="GL169" s="33"/>
      <c r="GM169" s="33"/>
      <c r="GN169" s="33"/>
      <c r="GO169" s="33"/>
      <c r="GP169" s="33"/>
      <c r="GQ169" s="33"/>
      <c r="GR169" s="33"/>
      <c r="GS169" s="33"/>
      <c r="GT169" s="33"/>
      <c r="GU169" s="33"/>
      <c r="GV169" s="33"/>
      <c r="GW169" s="33"/>
      <c r="GX169" s="33"/>
      <c r="GY169" s="33"/>
      <c r="GZ169" s="33"/>
      <c r="HA169" s="33"/>
      <c r="HB169" s="33"/>
      <c r="HC169" s="33"/>
      <c r="HD169" s="33"/>
      <c r="HE169" s="33"/>
      <c r="HF169" s="33"/>
      <c r="HG169" s="33"/>
      <c r="HH169" s="33"/>
      <c r="HI169" s="33"/>
      <c r="HJ169" s="33"/>
      <c r="HK169" s="33"/>
      <c r="HL169" s="33"/>
      <c r="HM169" s="33"/>
      <c r="HN169" s="33"/>
      <c r="HO169" s="33"/>
      <c r="HP169" s="33"/>
      <c r="HQ169" s="33"/>
      <c r="HR169" s="33"/>
      <c r="HS169" s="33"/>
      <c r="HT169" s="33"/>
      <c r="HU169" s="33"/>
      <c r="HV169" s="33"/>
      <c r="HW169" s="33"/>
      <c r="HX169" s="33"/>
      <c r="HY169" s="33"/>
      <c r="HZ169" s="33"/>
      <c r="IA169" s="33"/>
      <c r="IB169" s="33"/>
      <c r="IC169" s="33"/>
      <c r="ID169" s="33"/>
      <c r="IE169" s="33"/>
      <c r="IF169" s="33"/>
      <c r="IG169" s="33"/>
      <c r="IH169" s="33"/>
      <c r="II169" s="33"/>
      <c r="IJ169" s="33"/>
      <c r="IK169" s="33"/>
      <c r="IL169" s="33"/>
      <c r="IM169" s="33"/>
      <c r="IN169" s="33"/>
      <c r="IO169" s="33"/>
      <c r="IP169" s="33"/>
      <c r="IQ169" s="33"/>
      <c r="IR169" s="33"/>
      <c r="IS169" s="33"/>
      <c r="IT169" s="33"/>
      <c r="IU169" s="33"/>
      <c r="IV169" s="33"/>
      <c r="IW169" s="33"/>
      <c r="IX169" s="33"/>
      <c r="IY169" s="33"/>
      <c r="IZ169" s="33"/>
      <c r="JA169" s="33"/>
      <c r="JB169" s="33"/>
      <c r="JC169" s="33"/>
      <c r="JD169" s="33"/>
      <c r="JE169" s="33"/>
      <c r="JF169" s="33"/>
      <c r="JG169" s="33"/>
      <c r="JH169" s="33"/>
      <c r="JI169" s="33"/>
      <c r="JJ169" s="33"/>
      <c r="JK169" s="33"/>
      <c r="JL169" s="33"/>
      <c r="JM169" s="33"/>
      <c r="JN169" s="33"/>
      <c r="JO169" s="33"/>
      <c r="JP169" s="33"/>
      <c r="JQ169" s="33"/>
      <c r="JR169" s="33"/>
      <c r="JS169" s="33"/>
      <c r="JT169" s="33"/>
      <c r="JU169" s="33"/>
      <c r="JV169" s="33"/>
      <c r="JW169" s="33"/>
      <c r="JX169" s="33"/>
      <c r="JY169" s="33"/>
      <c r="JZ169" s="33"/>
      <c r="KA169" s="33"/>
      <c r="KB169" s="33"/>
      <c r="KC169" s="33"/>
      <c r="KD169" s="33"/>
      <c r="KE169" s="33"/>
      <c r="KF169" s="33"/>
      <c r="KG169" s="33"/>
    </row>
    <row r="170" spans="1:293" s="20" customFormat="1">
      <c r="A170" s="25"/>
      <c r="B170" s="19">
        <v>876</v>
      </c>
      <c r="C170" s="21">
        <v>26.15537406</v>
      </c>
      <c r="D170" s="21">
        <v>4.562944817</v>
      </c>
      <c r="E170" s="21">
        <f t="shared" si="58"/>
        <v>0.13688834450999998</v>
      </c>
      <c r="F170" s="19"/>
      <c r="G170" s="19"/>
      <c r="H170" s="21">
        <v>0.28772400300000001</v>
      </c>
      <c r="I170" s="21">
        <v>0.32111444500000003</v>
      </c>
      <c r="J170" s="19">
        <f t="shared" si="59"/>
        <v>0.30441922399999999</v>
      </c>
      <c r="K170" s="19">
        <v>36</v>
      </c>
      <c r="L170" s="19">
        <v>10</v>
      </c>
      <c r="M170" s="19">
        <f t="shared" si="50"/>
        <v>5.4054054054054053</v>
      </c>
      <c r="N170" s="24">
        <v>1</v>
      </c>
      <c r="O170" s="20">
        <f t="shared" si="49"/>
        <v>0.90317746530314091</v>
      </c>
      <c r="P170" s="20">
        <f t="shared" si="60"/>
        <v>1.1072021152170373</v>
      </c>
      <c r="Q170" s="20">
        <f t="shared" si="51"/>
        <v>26.15537406</v>
      </c>
      <c r="R170" s="20">
        <f t="shared" si="52"/>
        <v>132.13962160107295</v>
      </c>
      <c r="S170" s="20">
        <f t="shared" si="53"/>
        <v>136.10381024910512</v>
      </c>
      <c r="T170" s="20">
        <f t="shared" si="54"/>
        <v>128.17543295304077</v>
      </c>
      <c r="U170">
        <f t="shared" si="55"/>
        <v>3.9641886480321773</v>
      </c>
      <c r="V170">
        <f t="shared" si="56"/>
        <v>3.9641886480321773</v>
      </c>
      <c r="W170">
        <f t="shared" si="57"/>
        <v>3.9641886480321773</v>
      </c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  <c r="FT170" s="33"/>
      <c r="FU170" s="33"/>
      <c r="FV170" s="33"/>
      <c r="FW170" s="33"/>
      <c r="FX170" s="33"/>
      <c r="FY170" s="33"/>
      <c r="FZ170" s="33"/>
      <c r="GA170" s="33"/>
      <c r="GB170" s="33"/>
      <c r="GC170" s="33"/>
      <c r="GD170" s="33"/>
      <c r="GE170" s="33"/>
      <c r="GF170" s="33"/>
      <c r="GG170" s="33"/>
      <c r="GH170" s="33"/>
      <c r="GI170" s="33"/>
      <c r="GJ170" s="33"/>
      <c r="GK170" s="33"/>
      <c r="GL170" s="33"/>
      <c r="GM170" s="33"/>
      <c r="GN170" s="33"/>
      <c r="GO170" s="33"/>
      <c r="GP170" s="33"/>
      <c r="GQ170" s="33"/>
      <c r="GR170" s="33"/>
      <c r="GS170" s="33"/>
      <c r="GT170" s="33"/>
      <c r="GU170" s="33"/>
      <c r="GV170" s="33"/>
      <c r="GW170" s="33"/>
      <c r="GX170" s="33"/>
      <c r="GY170" s="33"/>
      <c r="GZ170" s="33"/>
      <c r="HA170" s="33"/>
      <c r="HB170" s="33"/>
      <c r="HC170" s="33"/>
      <c r="HD170" s="33"/>
      <c r="HE170" s="33"/>
      <c r="HF170" s="33"/>
      <c r="HG170" s="33"/>
      <c r="HH170" s="33"/>
      <c r="HI170" s="33"/>
      <c r="HJ170" s="33"/>
      <c r="HK170" s="33"/>
      <c r="HL170" s="33"/>
      <c r="HM170" s="33"/>
      <c r="HN170" s="33"/>
      <c r="HO170" s="33"/>
      <c r="HP170" s="33"/>
      <c r="HQ170" s="33"/>
      <c r="HR170" s="33"/>
      <c r="HS170" s="33"/>
      <c r="HT170" s="33"/>
      <c r="HU170" s="33"/>
      <c r="HV170" s="33"/>
      <c r="HW170" s="33"/>
      <c r="HX170" s="33"/>
      <c r="HY170" s="33"/>
      <c r="HZ170" s="33"/>
      <c r="IA170" s="33"/>
      <c r="IB170" s="33"/>
      <c r="IC170" s="33"/>
      <c r="ID170" s="33"/>
      <c r="IE170" s="33"/>
      <c r="IF170" s="33"/>
      <c r="IG170" s="33"/>
      <c r="IH170" s="33"/>
      <c r="II170" s="33"/>
      <c r="IJ170" s="33"/>
      <c r="IK170" s="33"/>
      <c r="IL170" s="33"/>
      <c r="IM170" s="33"/>
      <c r="IN170" s="33"/>
      <c r="IO170" s="33"/>
      <c r="IP170" s="33"/>
      <c r="IQ170" s="33"/>
      <c r="IR170" s="33"/>
      <c r="IS170" s="33"/>
      <c r="IT170" s="33"/>
      <c r="IU170" s="33"/>
      <c r="IV170" s="33"/>
      <c r="IW170" s="33"/>
      <c r="IX170" s="33"/>
      <c r="IY170" s="33"/>
      <c r="IZ170" s="33"/>
      <c r="JA170" s="33"/>
      <c r="JB170" s="33"/>
      <c r="JC170" s="33"/>
      <c r="JD170" s="33"/>
      <c r="JE170" s="33"/>
      <c r="JF170" s="33"/>
      <c r="JG170" s="33"/>
      <c r="JH170" s="33"/>
      <c r="JI170" s="33"/>
      <c r="JJ170" s="33"/>
      <c r="JK170" s="33"/>
      <c r="JL170" s="33"/>
      <c r="JM170" s="33"/>
      <c r="JN170" s="33"/>
      <c r="JO170" s="33"/>
      <c r="JP170" s="33"/>
      <c r="JQ170" s="33"/>
      <c r="JR170" s="33"/>
      <c r="JS170" s="33"/>
      <c r="JT170" s="33"/>
      <c r="JU170" s="33"/>
      <c r="JV170" s="33"/>
      <c r="JW170" s="33"/>
      <c r="JX170" s="33"/>
      <c r="JY170" s="33"/>
      <c r="JZ170" s="33"/>
      <c r="KA170" s="33"/>
      <c r="KB170" s="33"/>
      <c r="KC170" s="33"/>
      <c r="KD170" s="33"/>
      <c r="KE170" s="33"/>
      <c r="KF170" s="33"/>
      <c r="KG170" s="33"/>
    </row>
    <row r="171" spans="1:293" s="20" customFormat="1">
      <c r="A171" s="25"/>
      <c r="B171" s="19">
        <v>876</v>
      </c>
      <c r="C171" s="21">
        <v>28.25737067</v>
      </c>
      <c r="D171" s="21">
        <v>4.4661652270000003</v>
      </c>
      <c r="E171" s="21">
        <f t="shared" si="58"/>
        <v>0.13398495681</v>
      </c>
      <c r="F171" s="19"/>
      <c r="G171" s="19"/>
      <c r="H171" s="21">
        <v>0.27780197400000001</v>
      </c>
      <c r="I171" s="21">
        <v>0.33001609199999998</v>
      </c>
      <c r="J171" s="19">
        <f t="shared" si="59"/>
        <v>0.303909033</v>
      </c>
      <c r="K171" s="19">
        <v>36</v>
      </c>
      <c r="L171" s="19">
        <v>10</v>
      </c>
      <c r="M171" s="19">
        <f t="shared" si="50"/>
        <v>5.4054054054054053</v>
      </c>
      <c r="N171" s="24">
        <v>1</v>
      </c>
      <c r="O171" s="20">
        <f t="shared" si="49"/>
        <v>0.90317746530314091</v>
      </c>
      <c r="P171" s="20">
        <f t="shared" si="60"/>
        <v>1.1072021152170373</v>
      </c>
      <c r="Q171" s="20">
        <f t="shared" si="51"/>
        <v>28.25737067</v>
      </c>
      <c r="R171" s="20">
        <f t="shared" si="52"/>
        <v>139.73121688819532</v>
      </c>
      <c r="S171" s="20">
        <f t="shared" si="53"/>
        <v>143.92315339484119</v>
      </c>
      <c r="T171" s="20">
        <f t="shared" si="54"/>
        <v>135.53928038154947</v>
      </c>
      <c r="U171">
        <f t="shared" si="55"/>
        <v>4.1919365066458738</v>
      </c>
      <c r="V171">
        <f t="shared" si="56"/>
        <v>4.1919365066458454</v>
      </c>
      <c r="W171">
        <f t="shared" si="57"/>
        <v>4.1919365066458596</v>
      </c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  <c r="FT171" s="33"/>
      <c r="FU171" s="33"/>
      <c r="FV171" s="33"/>
      <c r="FW171" s="33"/>
      <c r="FX171" s="33"/>
      <c r="FY171" s="33"/>
      <c r="FZ171" s="33"/>
      <c r="GA171" s="33"/>
      <c r="GB171" s="33"/>
      <c r="GC171" s="33"/>
      <c r="GD171" s="33"/>
      <c r="GE171" s="33"/>
      <c r="GF171" s="33"/>
      <c r="GG171" s="33"/>
      <c r="GH171" s="33"/>
      <c r="GI171" s="33"/>
      <c r="GJ171" s="33"/>
      <c r="GK171" s="33"/>
      <c r="GL171" s="33"/>
      <c r="GM171" s="33"/>
      <c r="GN171" s="33"/>
      <c r="GO171" s="33"/>
      <c r="GP171" s="33"/>
      <c r="GQ171" s="33"/>
      <c r="GR171" s="33"/>
      <c r="GS171" s="33"/>
      <c r="GT171" s="33"/>
      <c r="GU171" s="33"/>
      <c r="GV171" s="33"/>
      <c r="GW171" s="33"/>
      <c r="GX171" s="33"/>
      <c r="GY171" s="33"/>
      <c r="GZ171" s="33"/>
      <c r="HA171" s="33"/>
      <c r="HB171" s="33"/>
      <c r="HC171" s="33"/>
      <c r="HD171" s="33"/>
      <c r="HE171" s="33"/>
      <c r="HF171" s="33"/>
      <c r="HG171" s="33"/>
      <c r="HH171" s="33"/>
      <c r="HI171" s="33"/>
      <c r="HJ171" s="33"/>
      <c r="HK171" s="33"/>
      <c r="HL171" s="33"/>
      <c r="HM171" s="33"/>
      <c r="HN171" s="33"/>
      <c r="HO171" s="33"/>
      <c r="HP171" s="33"/>
      <c r="HQ171" s="33"/>
      <c r="HR171" s="33"/>
      <c r="HS171" s="33"/>
      <c r="HT171" s="33"/>
      <c r="HU171" s="33"/>
      <c r="HV171" s="33"/>
      <c r="HW171" s="33"/>
      <c r="HX171" s="33"/>
      <c r="HY171" s="33"/>
      <c r="HZ171" s="33"/>
      <c r="IA171" s="33"/>
      <c r="IB171" s="33"/>
      <c r="IC171" s="33"/>
      <c r="ID171" s="33"/>
      <c r="IE171" s="33"/>
      <c r="IF171" s="33"/>
      <c r="IG171" s="33"/>
      <c r="IH171" s="33"/>
      <c r="II171" s="33"/>
      <c r="IJ171" s="33"/>
      <c r="IK171" s="33"/>
      <c r="IL171" s="33"/>
      <c r="IM171" s="33"/>
      <c r="IN171" s="33"/>
      <c r="IO171" s="33"/>
      <c r="IP171" s="33"/>
      <c r="IQ171" s="33"/>
      <c r="IR171" s="33"/>
      <c r="IS171" s="33"/>
      <c r="IT171" s="33"/>
      <c r="IU171" s="33"/>
      <c r="IV171" s="33"/>
      <c r="IW171" s="33"/>
      <c r="IX171" s="33"/>
      <c r="IY171" s="33"/>
      <c r="IZ171" s="33"/>
      <c r="JA171" s="33"/>
      <c r="JB171" s="33"/>
      <c r="JC171" s="33"/>
      <c r="JD171" s="33"/>
      <c r="JE171" s="33"/>
      <c r="JF171" s="33"/>
      <c r="JG171" s="33"/>
      <c r="JH171" s="33"/>
      <c r="JI171" s="33"/>
      <c r="JJ171" s="33"/>
      <c r="JK171" s="33"/>
      <c r="JL171" s="33"/>
      <c r="JM171" s="33"/>
      <c r="JN171" s="33"/>
      <c r="JO171" s="33"/>
      <c r="JP171" s="33"/>
      <c r="JQ171" s="33"/>
      <c r="JR171" s="33"/>
      <c r="JS171" s="33"/>
      <c r="JT171" s="33"/>
      <c r="JU171" s="33"/>
      <c r="JV171" s="33"/>
      <c r="JW171" s="33"/>
      <c r="JX171" s="33"/>
      <c r="JY171" s="33"/>
      <c r="JZ171" s="33"/>
      <c r="KA171" s="33"/>
      <c r="KB171" s="33"/>
      <c r="KC171" s="33"/>
      <c r="KD171" s="33"/>
      <c r="KE171" s="33"/>
      <c r="KF171" s="33"/>
      <c r="KG171" s="33"/>
    </row>
    <row r="172" spans="1:293" s="20" customFormat="1">
      <c r="A172" s="25"/>
      <c r="B172" s="19">
        <v>876</v>
      </c>
      <c r="C172" s="21">
        <v>31.399926700000002</v>
      </c>
      <c r="D172" s="21">
        <v>4.3684828329999998</v>
      </c>
      <c r="E172" s="21">
        <f t="shared" si="58"/>
        <v>0.13105448499</v>
      </c>
      <c r="F172" s="19"/>
      <c r="G172" s="19"/>
      <c r="H172" s="21">
        <v>0.279466402</v>
      </c>
      <c r="I172" s="21">
        <v>0.32774557700000001</v>
      </c>
      <c r="J172" s="19">
        <f t="shared" si="59"/>
        <v>0.30360598950000001</v>
      </c>
      <c r="K172" s="19">
        <v>36</v>
      </c>
      <c r="L172" s="19">
        <v>10</v>
      </c>
      <c r="M172" s="19">
        <f t="shared" si="50"/>
        <v>5.4054054054054053</v>
      </c>
      <c r="N172" s="24">
        <v>1</v>
      </c>
      <c r="O172" s="20">
        <f t="shared" si="49"/>
        <v>0.90317746530314091</v>
      </c>
      <c r="P172" s="20">
        <f t="shared" si="60"/>
        <v>1.1072021152170373</v>
      </c>
      <c r="Q172" s="20">
        <f t="shared" si="51"/>
        <v>31.399926700000002</v>
      </c>
      <c r="R172" s="20">
        <f t="shared" si="52"/>
        <v>151.8749592588305</v>
      </c>
      <c r="S172" s="20">
        <f t="shared" si="53"/>
        <v>156.43120803659542</v>
      </c>
      <c r="T172" s="20">
        <f t="shared" si="54"/>
        <v>147.31871048106561</v>
      </c>
      <c r="U172">
        <f t="shared" si="55"/>
        <v>4.556248777764921</v>
      </c>
      <c r="V172">
        <f t="shared" si="56"/>
        <v>4.5562487777648926</v>
      </c>
      <c r="W172">
        <f t="shared" si="57"/>
        <v>4.5562487777649068</v>
      </c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  <c r="FT172" s="33"/>
      <c r="FU172" s="33"/>
      <c r="FV172" s="33"/>
      <c r="FW172" s="33"/>
      <c r="FX172" s="33"/>
      <c r="FY172" s="33"/>
      <c r="FZ172" s="33"/>
      <c r="GA172" s="33"/>
      <c r="GB172" s="33"/>
      <c r="GC172" s="33"/>
      <c r="GD172" s="33"/>
      <c r="GE172" s="33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33"/>
      <c r="GR172" s="33"/>
      <c r="GS172" s="33"/>
      <c r="GT172" s="33"/>
      <c r="GU172" s="33"/>
      <c r="GV172" s="33"/>
      <c r="GW172" s="33"/>
      <c r="GX172" s="33"/>
      <c r="GY172" s="33"/>
      <c r="GZ172" s="33"/>
      <c r="HA172" s="33"/>
      <c r="HB172" s="33"/>
      <c r="HC172" s="33"/>
      <c r="HD172" s="33"/>
      <c r="HE172" s="33"/>
      <c r="HF172" s="33"/>
      <c r="HG172" s="33"/>
      <c r="HH172" s="33"/>
      <c r="HI172" s="33"/>
      <c r="HJ172" s="33"/>
      <c r="HK172" s="33"/>
      <c r="HL172" s="33"/>
      <c r="HM172" s="33"/>
      <c r="HN172" s="33"/>
      <c r="HO172" s="33"/>
      <c r="HP172" s="33"/>
      <c r="HQ172" s="33"/>
      <c r="HR172" s="33"/>
      <c r="HS172" s="33"/>
      <c r="HT172" s="33"/>
      <c r="HU172" s="33"/>
      <c r="HV172" s="33"/>
      <c r="HW172" s="33"/>
      <c r="HX172" s="33"/>
      <c r="HY172" s="33"/>
      <c r="HZ172" s="33"/>
      <c r="IA172" s="33"/>
      <c r="IB172" s="33"/>
      <c r="IC172" s="33"/>
      <c r="ID172" s="33"/>
      <c r="IE172" s="33"/>
      <c r="IF172" s="33"/>
      <c r="IG172" s="33"/>
      <c r="IH172" s="33"/>
      <c r="II172" s="33"/>
      <c r="IJ172" s="33"/>
      <c r="IK172" s="33"/>
      <c r="IL172" s="33"/>
      <c r="IM172" s="33"/>
      <c r="IN172" s="33"/>
      <c r="IO172" s="33"/>
      <c r="IP172" s="33"/>
      <c r="IQ172" s="33"/>
      <c r="IR172" s="33"/>
      <c r="IS172" s="33"/>
      <c r="IT172" s="33"/>
      <c r="IU172" s="33"/>
      <c r="IV172" s="33"/>
      <c r="IW172" s="33"/>
      <c r="IX172" s="33"/>
      <c r="IY172" s="33"/>
      <c r="IZ172" s="33"/>
      <c r="JA172" s="33"/>
      <c r="JB172" s="33"/>
      <c r="JC172" s="33"/>
      <c r="JD172" s="33"/>
      <c r="JE172" s="33"/>
      <c r="JF172" s="33"/>
      <c r="JG172" s="33"/>
      <c r="JH172" s="33"/>
      <c r="JI172" s="33"/>
      <c r="JJ172" s="33"/>
      <c r="JK172" s="33"/>
      <c r="JL172" s="33"/>
      <c r="JM172" s="33"/>
      <c r="JN172" s="33"/>
      <c r="JO172" s="33"/>
      <c r="JP172" s="33"/>
      <c r="JQ172" s="33"/>
      <c r="JR172" s="33"/>
      <c r="JS172" s="33"/>
      <c r="JT172" s="33"/>
      <c r="JU172" s="33"/>
      <c r="JV172" s="33"/>
      <c r="JW172" s="33"/>
      <c r="JX172" s="33"/>
      <c r="JY172" s="33"/>
      <c r="JZ172" s="33"/>
      <c r="KA172" s="33"/>
      <c r="KB172" s="33"/>
      <c r="KC172" s="33"/>
      <c r="KD172" s="33"/>
      <c r="KE172" s="33"/>
      <c r="KF172" s="33"/>
      <c r="KG172" s="33"/>
    </row>
    <row r="173" spans="1:293" s="20" customFormat="1">
      <c r="A173" s="25"/>
      <c r="B173" s="19">
        <v>876</v>
      </c>
      <c r="C173" s="21">
        <v>35.578045379999999</v>
      </c>
      <c r="D173" s="21">
        <v>4.1888160059999997</v>
      </c>
      <c r="E173" s="21">
        <f t="shared" si="58"/>
        <v>0.12566448017999998</v>
      </c>
      <c r="F173" s="19"/>
      <c r="G173" s="19"/>
      <c r="H173" s="21">
        <v>0.46654917400000001</v>
      </c>
      <c r="I173" s="21">
        <v>0.36195212900000001</v>
      </c>
      <c r="J173" s="19">
        <f t="shared" si="59"/>
        <v>0.41425065150000001</v>
      </c>
      <c r="K173" s="19">
        <v>36</v>
      </c>
      <c r="L173" s="19">
        <v>10</v>
      </c>
      <c r="M173" s="19">
        <f t="shared" si="50"/>
        <v>5.4054054054054053</v>
      </c>
      <c r="N173" s="24">
        <v>1</v>
      </c>
      <c r="O173" s="20">
        <f t="shared" si="49"/>
        <v>0.90317746530314091</v>
      </c>
      <c r="P173" s="20">
        <f t="shared" si="60"/>
        <v>1.1072021152170373</v>
      </c>
      <c r="Q173" s="20">
        <f t="shared" si="51"/>
        <v>35.578045379999999</v>
      </c>
      <c r="R173" s="20">
        <f t="shared" si="52"/>
        <v>165.00620495432557</v>
      </c>
      <c r="S173" s="20">
        <f t="shared" si="53"/>
        <v>169.95639110295534</v>
      </c>
      <c r="T173" s="20">
        <f t="shared" si="54"/>
        <v>160.0560188056958</v>
      </c>
      <c r="U173">
        <f t="shared" si="55"/>
        <v>4.9501861486297685</v>
      </c>
      <c r="V173">
        <f t="shared" si="56"/>
        <v>4.9501861486297685</v>
      </c>
      <c r="W173">
        <f t="shared" si="57"/>
        <v>4.9501861486297685</v>
      </c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  <c r="FT173" s="33"/>
      <c r="FU173" s="33"/>
      <c r="FV173" s="33"/>
      <c r="FW173" s="33"/>
      <c r="FX173" s="33"/>
      <c r="FY173" s="33"/>
      <c r="FZ173" s="33"/>
      <c r="GA173" s="33"/>
      <c r="GB173" s="33"/>
      <c r="GC173" s="33"/>
      <c r="GD173" s="33"/>
      <c r="GE173" s="33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33"/>
      <c r="GR173" s="33"/>
      <c r="GS173" s="33"/>
      <c r="GT173" s="33"/>
      <c r="GU173" s="33"/>
      <c r="GV173" s="33"/>
      <c r="GW173" s="33"/>
      <c r="GX173" s="33"/>
      <c r="GY173" s="33"/>
      <c r="GZ173" s="33"/>
      <c r="HA173" s="33"/>
      <c r="HB173" s="33"/>
      <c r="HC173" s="33"/>
      <c r="HD173" s="33"/>
      <c r="HE173" s="33"/>
      <c r="HF173" s="33"/>
      <c r="HG173" s="33"/>
      <c r="HH173" s="33"/>
      <c r="HI173" s="33"/>
      <c r="HJ173" s="33"/>
      <c r="HK173" s="33"/>
      <c r="HL173" s="33"/>
      <c r="HM173" s="33"/>
      <c r="HN173" s="33"/>
      <c r="HO173" s="33"/>
      <c r="HP173" s="33"/>
      <c r="HQ173" s="33"/>
      <c r="HR173" s="33"/>
      <c r="HS173" s="33"/>
      <c r="HT173" s="33"/>
      <c r="HU173" s="33"/>
      <c r="HV173" s="33"/>
      <c r="HW173" s="33"/>
      <c r="HX173" s="33"/>
      <c r="HY173" s="33"/>
      <c r="HZ173" s="33"/>
      <c r="IA173" s="33"/>
      <c r="IB173" s="33"/>
      <c r="IC173" s="33"/>
      <c r="ID173" s="33"/>
      <c r="IE173" s="33"/>
      <c r="IF173" s="33"/>
      <c r="IG173" s="33"/>
      <c r="IH173" s="33"/>
      <c r="II173" s="33"/>
      <c r="IJ173" s="33"/>
      <c r="IK173" s="33"/>
      <c r="IL173" s="33"/>
      <c r="IM173" s="33"/>
      <c r="IN173" s="33"/>
      <c r="IO173" s="33"/>
      <c r="IP173" s="33"/>
      <c r="IQ173" s="33"/>
      <c r="IR173" s="33"/>
      <c r="IS173" s="33"/>
      <c r="IT173" s="33"/>
      <c r="IU173" s="33"/>
      <c r="IV173" s="33"/>
      <c r="IW173" s="33"/>
      <c r="IX173" s="33"/>
      <c r="IY173" s="33"/>
      <c r="IZ173" s="33"/>
      <c r="JA173" s="33"/>
      <c r="JB173" s="33"/>
      <c r="JC173" s="33"/>
      <c r="JD173" s="33"/>
      <c r="JE173" s="33"/>
      <c r="JF173" s="33"/>
      <c r="JG173" s="33"/>
      <c r="JH173" s="33"/>
      <c r="JI173" s="33"/>
      <c r="JJ173" s="33"/>
      <c r="JK173" s="33"/>
      <c r="JL173" s="33"/>
      <c r="JM173" s="33"/>
      <c r="JN173" s="33"/>
      <c r="JO173" s="33"/>
      <c r="JP173" s="33"/>
      <c r="JQ173" s="33"/>
      <c r="JR173" s="33"/>
      <c r="JS173" s="33"/>
      <c r="JT173" s="33"/>
      <c r="JU173" s="33"/>
      <c r="JV173" s="33"/>
      <c r="JW173" s="33"/>
      <c r="JX173" s="33"/>
      <c r="JY173" s="33"/>
      <c r="JZ173" s="33"/>
      <c r="KA173" s="33"/>
      <c r="KB173" s="33"/>
      <c r="KC173" s="33"/>
      <c r="KD173" s="33"/>
      <c r="KE173" s="33"/>
      <c r="KF173" s="33"/>
      <c r="KG173" s="33"/>
    </row>
    <row r="174" spans="1:293" s="20" customFormat="1">
      <c r="A174" s="25"/>
      <c r="B174" s="19">
        <v>876</v>
      </c>
      <c r="C174" s="21">
        <v>39.777355129999997</v>
      </c>
      <c r="D174" s="21">
        <v>4.0971007439999996</v>
      </c>
      <c r="E174" s="21">
        <f t="shared" si="58"/>
        <v>0.12291302231999998</v>
      </c>
      <c r="F174" s="19"/>
      <c r="G174" s="19"/>
      <c r="H174" s="21">
        <v>0.37548021599999998</v>
      </c>
      <c r="I174" s="21">
        <v>0.287087967</v>
      </c>
      <c r="J174" s="19">
        <f t="shared" si="59"/>
        <v>0.33128409149999999</v>
      </c>
      <c r="K174" s="19">
        <v>36</v>
      </c>
      <c r="L174" s="19">
        <v>10</v>
      </c>
      <c r="M174" s="19">
        <f t="shared" si="50"/>
        <v>5.4054054054054053</v>
      </c>
      <c r="N174" s="24">
        <v>1</v>
      </c>
      <c r="O174" s="20">
        <f t="shared" si="49"/>
        <v>0.90317746530314091</v>
      </c>
      <c r="P174" s="20">
        <f t="shared" si="60"/>
        <v>1.1072021152170373</v>
      </c>
      <c r="Q174" s="20">
        <f t="shared" si="51"/>
        <v>39.777355129999997</v>
      </c>
      <c r="R174" s="20">
        <f t="shared" si="52"/>
        <v>180.44275633335866</v>
      </c>
      <c r="S174" s="20">
        <f t="shared" si="53"/>
        <v>185.85603902335944</v>
      </c>
      <c r="T174" s="20">
        <f t="shared" si="54"/>
        <v>175.0294736433579</v>
      </c>
      <c r="U174">
        <f t="shared" si="55"/>
        <v>5.4132826900007842</v>
      </c>
      <c r="V174">
        <f t="shared" si="56"/>
        <v>5.4132826900007558</v>
      </c>
      <c r="W174">
        <f t="shared" si="57"/>
        <v>5.41328269000077</v>
      </c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33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  <c r="HU174" s="33"/>
      <c r="HV174" s="33"/>
      <c r="HW174" s="33"/>
      <c r="HX174" s="33"/>
      <c r="HY174" s="33"/>
      <c r="HZ174" s="33"/>
      <c r="IA174" s="33"/>
      <c r="IB174" s="33"/>
      <c r="IC174" s="33"/>
      <c r="ID174" s="33"/>
      <c r="IE174" s="33"/>
      <c r="IF174" s="33"/>
      <c r="IG174" s="33"/>
      <c r="IH174" s="33"/>
      <c r="II174" s="33"/>
      <c r="IJ174" s="33"/>
      <c r="IK174" s="33"/>
      <c r="IL174" s="33"/>
      <c r="IM174" s="33"/>
      <c r="IN174" s="33"/>
      <c r="IO174" s="33"/>
      <c r="IP174" s="33"/>
      <c r="IQ174" s="33"/>
      <c r="IR174" s="33"/>
      <c r="IS174" s="33"/>
      <c r="IT174" s="33"/>
      <c r="IU174" s="33"/>
      <c r="IV174" s="33"/>
      <c r="IW174" s="33"/>
      <c r="IX174" s="33"/>
      <c r="IY174" s="33"/>
      <c r="IZ174" s="33"/>
      <c r="JA174" s="33"/>
      <c r="JB174" s="33"/>
      <c r="JC174" s="33"/>
      <c r="JD174" s="33"/>
      <c r="JE174" s="33"/>
      <c r="JF174" s="33"/>
      <c r="JG174" s="33"/>
      <c r="JH174" s="33"/>
      <c r="JI174" s="33"/>
      <c r="JJ174" s="33"/>
      <c r="JK174" s="33"/>
      <c r="JL174" s="33"/>
      <c r="JM174" s="33"/>
      <c r="JN174" s="33"/>
      <c r="JO174" s="33"/>
      <c r="JP174" s="33"/>
      <c r="JQ174" s="33"/>
      <c r="JR174" s="33"/>
      <c r="JS174" s="33"/>
      <c r="JT174" s="33"/>
      <c r="JU174" s="33"/>
      <c r="JV174" s="33"/>
      <c r="JW174" s="33"/>
      <c r="JX174" s="33"/>
      <c r="JY174" s="33"/>
      <c r="JZ174" s="33"/>
      <c r="KA174" s="33"/>
      <c r="KB174" s="33"/>
      <c r="KC174" s="33"/>
      <c r="KD174" s="33"/>
      <c r="KE174" s="33"/>
      <c r="KF174" s="33"/>
      <c r="KG174" s="33"/>
    </row>
    <row r="175" spans="1:293" s="20" customFormat="1">
      <c r="A175" s="25"/>
      <c r="B175" s="19">
        <v>876</v>
      </c>
      <c r="C175" s="21">
        <v>43.873780009999997</v>
      </c>
      <c r="D175" s="21">
        <v>3.9389704600000002</v>
      </c>
      <c r="E175" s="21">
        <f t="shared" si="58"/>
        <v>0.1181691138</v>
      </c>
      <c r="F175" s="19"/>
      <c r="G175" s="19"/>
      <c r="H175" s="21">
        <v>0.47353676300000003</v>
      </c>
      <c r="I175" s="21">
        <v>0.35217029399999999</v>
      </c>
      <c r="J175" s="19">
        <f t="shared" si="59"/>
        <v>0.41285352850000001</v>
      </c>
      <c r="K175" s="19">
        <v>36</v>
      </c>
      <c r="L175" s="19">
        <v>10</v>
      </c>
      <c r="M175" s="19">
        <f t="shared" si="50"/>
        <v>5.4054054054054053</v>
      </c>
      <c r="N175" s="24">
        <v>1</v>
      </c>
      <c r="O175" s="20">
        <f t="shared" si="49"/>
        <v>0.90317746530314091</v>
      </c>
      <c r="P175" s="20">
        <f t="shared" si="60"/>
        <v>1.1072021152170373</v>
      </c>
      <c r="Q175" s="20">
        <f t="shared" si="51"/>
        <v>43.873780009999997</v>
      </c>
      <c r="R175" s="20">
        <f t="shared" si="52"/>
        <v>191.34392748597233</v>
      </c>
      <c r="S175" s="20">
        <f t="shared" si="53"/>
        <v>197.08424531055149</v>
      </c>
      <c r="T175" s="20">
        <f t="shared" si="54"/>
        <v>185.60360966139314</v>
      </c>
      <c r="U175">
        <f t="shared" si="55"/>
        <v>5.7403178245791651</v>
      </c>
      <c r="V175">
        <f t="shared" si="56"/>
        <v>5.7403178245791935</v>
      </c>
      <c r="W175">
        <f t="shared" si="57"/>
        <v>5.7403178245791793</v>
      </c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33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  <c r="HU175" s="33"/>
      <c r="HV175" s="33"/>
      <c r="HW175" s="33"/>
      <c r="HX175" s="33"/>
      <c r="HY175" s="33"/>
      <c r="HZ175" s="33"/>
      <c r="IA175" s="33"/>
      <c r="IB175" s="33"/>
      <c r="IC175" s="33"/>
      <c r="ID175" s="33"/>
      <c r="IE175" s="33"/>
      <c r="IF175" s="33"/>
      <c r="IG175" s="33"/>
      <c r="IH175" s="33"/>
      <c r="II175" s="33"/>
      <c r="IJ175" s="33"/>
      <c r="IK175" s="33"/>
      <c r="IL175" s="33"/>
      <c r="IM175" s="33"/>
      <c r="IN175" s="33"/>
      <c r="IO175" s="33"/>
      <c r="IP175" s="33"/>
      <c r="IQ175" s="33"/>
      <c r="IR175" s="33"/>
      <c r="IS175" s="33"/>
      <c r="IT175" s="33"/>
      <c r="IU175" s="33"/>
      <c r="IV175" s="33"/>
      <c r="IW175" s="33"/>
      <c r="IX175" s="33"/>
      <c r="IY175" s="33"/>
      <c r="IZ175" s="33"/>
      <c r="JA175" s="33"/>
      <c r="JB175" s="33"/>
      <c r="JC175" s="33"/>
      <c r="JD175" s="33"/>
      <c r="JE175" s="33"/>
      <c r="JF175" s="33"/>
      <c r="JG175" s="33"/>
      <c r="JH175" s="33"/>
      <c r="JI175" s="33"/>
      <c r="JJ175" s="33"/>
      <c r="JK175" s="33"/>
      <c r="JL175" s="33"/>
      <c r="JM175" s="33"/>
      <c r="JN175" s="33"/>
      <c r="JO175" s="33"/>
      <c r="JP175" s="33"/>
      <c r="JQ175" s="33"/>
      <c r="JR175" s="33"/>
      <c r="JS175" s="33"/>
      <c r="JT175" s="33"/>
      <c r="JU175" s="33"/>
      <c r="JV175" s="33"/>
      <c r="JW175" s="33"/>
      <c r="JX175" s="33"/>
      <c r="JY175" s="33"/>
      <c r="JZ175" s="33"/>
      <c r="KA175" s="33"/>
      <c r="KB175" s="33"/>
      <c r="KC175" s="33"/>
      <c r="KD175" s="33"/>
      <c r="KE175" s="33"/>
      <c r="KF175" s="33"/>
      <c r="KG175" s="33"/>
    </row>
    <row r="176" spans="1:293" s="20" customFormat="1">
      <c r="A176" s="25"/>
      <c r="B176" s="19">
        <v>876</v>
      </c>
      <c r="C176" s="21">
        <v>49.723083209999999</v>
      </c>
      <c r="D176" s="21">
        <v>3.7710665859999999</v>
      </c>
      <c r="E176" s="21">
        <f t="shared" si="58"/>
        <v>0.11313199757999999</v>
      </c>
      <c r="F176" s="19"/>
      <c r="G176" s="19"/>
      <c r="H176" s="21">
        <v>0.372884508</v>
      </c>
      <c r="I176" s="21">
        <v>0.299861143</v>
      </c>
      <c r="J176" s="19">
        <f t="shared" si="59"/>
        <v>0.33637282550000003</v>
      </c>
      <c r="K176" s="19">
        <v>36</v>
      </c>
      <c r="L176" s="19">
        <v>10</v>
      </c>
      <c r="M176" s="19">
        <f t="shared" si="50"/>
        <v>5.4054054054054053</v>
      </c>
      <c r="N176" s="24">
        <v>1</v>
      </c>
      <c r="O176" s="20">
        <f t="shared" si="49"/>
        <v>0.90317746530314091</v>
      </c>
      <c r="P176" s="20">
        <f t="shared" si="60"/>
        <v>1.1072021152170373</v>
      </c>
      <c r="Q176" s="20">
        <f t="shared" si="51"/>
        <v>49.723083209999999</v>
      </c>
      <c r="R176" s="20">
        <f t="shared" si="52"/>
        <v>207.61042524814698</v>
      </c>
      <c r="S176" s="20">
        <f t="shared" si="53"/>
        <v>213.83873800559138</v>
      </c>
      <c r="T176" s="20">
        <f t="shared" si="54"/>
        <v>201.38211249070255</v>
      </c>
      <c r="U176">
        <f t="shared" si="55"/>
        <v>6.2283127574443995</v>
      </c>
      <c r="V176">
        <f t="shared" si="56"/>
        <v>6.2283127574444279</v>
      </c>
      <c r="W176">
        <f t="shared" si="57"/>
        <v>6.2283127574444137</v>
      </c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33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  <c r="HU176" s="33"/>
      <c r="HV176" s="33"/>
      <c r="HW176" s="33"/>
      <c r="HX176" s="33"/>
      <c r="HY176" s="33"/>
      <c r="HZ176" s="33"/>
      <c r="IA176" s="33"/>
      <c r="IB176" s="33"/>
      <c r="IC176" s="33"/>
      <c r="ID176" s="33"/>
      <c r="IE176" s="33"/>
      <c r="IF176" s="33"/>
      <c r="IG176" s="33"/>
      <c r="IH176" s="33"/>
      <c r="II176" s="33"/>
      <c r="IJ176" s="33"/>
      <c r="IK176" s="33"/>
      <c r="IL176" s="33"/>
      <c r="IM176" s="33"/>
      <c r="IN176" s="33"/>
      <c r="IO176" s="33"/>
      <c r="IP176" s="33"/>
      <c r="IQ176" s="33"/>
      <c r="IR176" s="33"/>
      <c r="IS176" s="33"/>
      <c r="IT176" s="33"/>
      <c r="IU176" s="33"/>
      <c r="IV176" s="33"/>
      <c r="IW176" s="33"/>
      <c r="IX176" s="33"/>
      <c r="IY176" s="33"/>
      <c r="IZ176" s="33"/>
      <c r="JA176" s="33"/>
      <c r="JB176" s="33"/>
      <c r="JC176" s="33"/>
      <c r="JD176" s="33"/>
      <c r="JE176" s="33"/>
      <c r="JF176" s="33"/>
      <c r="JG176" s="33"/>
      <c r="JH176" s="33"/>
      <c r="JI176" s="33"/>
      <c r="JJ176" s="33"/>
      <c r="JK176" s="33"/>
      <c r="JL176" s="33"/>
      <c r="JM176" s="33"/>
      <c r="JN176" s="33"/>
      <c r="JO176" s="33"/>
      <c r="JP176" s="33"/>
      <c r="JQ176" s="33"/>
      <c r="JR176" s="33"/>
      <c r="JS176" s="33"/>
      <c r="JT176" s="33"/>
      <c r="JU176" s="33"/>
      <c r="JV176" s="33"/>
      <c r="JW176" s="33"/>
      <c r="JX176" s="33"/>
      <c r="JY176" s="33"/>
      <c r="JZ176" s="33"/>
      <c r="KA176" s="33"/>
      <c r="KB176" s="33"/>
      <c r="KC176" s="33"/>
      <c r="KD176" s="33"/>
      <c r="KE176" s="33"/>
      <c r="KF176" s="33"/>
      <c r="KG176" s="33"/>
    </row>
    <row r="177" spans="1:293" s="20" customFormat="1">
      <c r="A177" s="25"/>
      <c r="B177" s="19">
        <v>876</v>
      </c>
      <c r="C177" s="21">
        <v>56.5</v>
      </c>
      <c r="D177" s="21">
        <v>3.7982762640000001</v>
      </c>
      <c r="E177" s="21">
        <f t="shared" si="58"/>
        <v>0.11394828792</v>
      </c>
      <c r="F177" s="19"/>
      <c r="G177" s="19"/>
      <c r="H177" s="21">
        <v>0</v>
      </c>
      <c r="I177" s="21">
        <v>0</v>
      </c>
      <c r="J177" s="19">
        <f t="shared" si="59"/>
        <v>0</v>
      </c>
      <c r="K177" s="19">
        <v>36</v>
      </c>
      <c r="L177" s="19">
        <v>10</v>
      </c>
      <c r="M177" s="19">
        <f t="shared" si="50"/>
        <v>5.4054054054054053</v>
      </c>
      <c r="N177" s="24">
        <v>1</v>
      </c>
      <c r="O177" s="20">
        <f t="shared" si="49"/>
        <v>0.90317746530314091</v>
      </c>
      <c r="P177" s="20">
        <v>1.06</v>
      </c>
      <c r="Q177" s="20">
        <f t="shared" si="51"/>
        <v>56.5</v>
      </c>
      <c r="R177" s="30">
        <v>227.47876550000001</v>
      </c>
      <c r="S177" s="20">
        <f t="shared" si="53"/>
        <v>234.30312841448881</v>
      </c>
      <c r="T177" s="20">
        <f t="shared" si="54"/>
        <v>220.65440248743121</v>
      </c>
      <c r="U177">
        <f t="shared" si="55"/>
        <v>6.8243629144888018</v>
      </c>
      <c r="V177">
        <f t="shared" si="56"/>
        <v>6.8243630125687957</v>
      </c>
      <c r="W177">
        <f t="shared" si="57"/>
        <v>6.8243629635287988</v>
      </c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4"/>
      <c r="BC177" s="34"/>
      <c r="BD177" s="33"/>
      <c r="BE177" s="33"/>
      <c r="BF177" s="34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33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  <c r="HU177" s="33"/>
      <c r="HV177" s="33"/>
      <c r="HW177" s="33"/>
      <c r="HX177" s="33"/>
      <c r="HY177" s="33"/>
      <c r="HZ177" s="33"/>
      <c r="IA177" s="33"/>
      <c r="IB177" s="33"/>
      <c r="IC177" s="33"/>
      <c r="ID177" s="33"/>
      <c r="IE177" s="33"/>
      <c r="IF177" s="33"/>
      <c r="IG177" s="33"/>
      <c r="IH177" s="33"/>
      <c r="II177" s="33"/>
      <c r="IJ177" s="33"/>
      <c r="IK177" s="33"/>
      <c r="IL177" s="33"/>
      <c r="IM177" s="33"/>
      <c r="IN177" s="33"/>
      <c r="IO177" s="33"/>
      <c r="IP177" s="33"/>
      <c r="IQ177" s="33"/>
      <c r="IR177" s="33"/>
      <c r="IS177" s="33"/>
      <c r="IT177" s="33"/>
      <c r="IU177" s="33"/>
      <c r="IV177" s="33"/>
      <c r="IW177" s="33"/>
      <c r="IX177" s="33"/>
      <c r="IY177" s="33"/>
      <c r="IZ177" s="33"/>
      <c r="JA177" s="33"/>
      <c r="JB177" s="33"/>
      <c r="JC177" s="33"/>
      <c r="JD177" s="33"/>
      <c r="JE177" s="33"/>
      <c r="JF177" s="33"/>
      <c r="JG177" s="33"/>
      <c r="JH177" s="33"/>
      <c r="JI177" s="33"/>
      <c r="JJ177" s="33"/>
      <c r="JK177" s="33"/>
      <c r="JL177" s="33"/>
      <c r="JM177" s="33"/>
      <c r="JN177" s="33"/>
      <c r="JO177" s="33"/>
      <c r="JP177" s="33"/>
      <c r="JQ177" s="33"/>
      <c r="JR177" s="33"/>
      <c r="JS177" s="33"/>
      <c r="JT177" s="33"/>
      <c r="JU177" s="33"/>
      <c r="JV177" s="33"/>
      <c r="JW177" s="33"/>
      <c r="JX177" s="33"/>
      <c r="JY177" s="33"/>
      <c r="JZ177" s="33"/>
      <c r="KA177" s="33"/>
      <c r="KB177" s="33"/>
      <c r="KC177" s="33"/>
      <c r="KD177" s="33"/>
      <c r="KE177" s="33"/>
      <c r="KF177" s="33"/>
      <c r="KG177" s="33"/>
    </row>
    <row r="178" spans="1:293" s="20" customFormat="1">
      <c r="A178" s="25"/>
      <c r="B178" s="19">
        <v>876</v>
      </c>
      <c r="C178" s="21">
        <v>57.528399149999998</v>
      </c>
      <c r="D178" s="21">
        <v>3.583488537</v>
      </c>
      <c r="E178" s="21">
        <f t="shared" si="58"/>
        <v>0.10750465611</v>
      </c>
      <c r="F178" s="19"/>
      <c r="G178" s="19"/>
      <c r="H178" s="21">
        <v>0.51272702699999995</v>
      </c>
      <c r="I178" s="21">
        <v>0.391205686</v>
      </c>
      <c r="J178" s="19">
        <f t="shared" si="59"/>
        <v>0.45196635649999994</v>
      </c>
      <c r="K178" s="19">
        <v>36</v>
      </c>
      <c r="L178" s="19">
        <v>10</v>
      </c>
      <c r="M178" s="19">
        <f t="shared" si="50"/>
        <v>5.4054054054054053</v>
      </c>
      <c r="N178" s="24">
        <v>1</v>
      </c>
      <c r="O178" s="20">
        <f t="shared" si="49"/>
        <v>0.90317746530314091</v>
      </c>
      <c r="P178" s="20">
        <f t="shared" si="60"/>
        <v>1.1072021152170373</v>
      </c>
      <c r="Q178" s="20">
        <f t="shared" si="51"/>
        <v>57.528399149999998</v>
      </c>
      <c r="R178" s="20">
        <f t="shared" si="52"/>
        <v>228.25232783768902</v>
      </c>
      <c r="S178" s="20">
        <f t="shared" si="53"/>
        <v>235.09989767281971</v>
      </c>
      <c r="T178" s="20">
        <f t="shared" si="54"/>
        <v>221.40475800255834</v>
      </c>
      <c r="U178">
        <f t="shared" si="55"/>
        <v>6.8475698351306846</v>
      </c>
      <c r="V178">
        <f t="shared" si="56"/>
        <v>6.8475698351306846</v>
      </c>
      <c r="W178">
        <f t="shared" si="57"/>
        <v>6.8475698351306846</v>
      </c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4"/>
      <c r="BA178" s="33"/>
      <c r="BB178" s="33"/>
      <c r="BC178" s="34"/>
      <c r="BD178" s="33"/>
      <c r="BE178" s="33"/>
      <c r="BF178" s="34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33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  <c r="HU178" s="33"/>
      <c r="HV178" s="33"/>
      <c r="HW178" s="33"/>
      <c r="HX178" s="33"/>
      <c r="HY178" s="33"/>
      <c r="HZ178" s="33"/>
      <c r="IA178" s="33"/>
      <c r="IB178" s="33"/>
      <c r="IC178" s="33"/>
      <c r="ID178" s="33"/>
      <c r="IE178" s="33"/>
      <c r="IF178" s="33"/>
      <c r="IG178" s="33"/>
      <c r="IH178" s="33"/>
      <c r="II178" s="33"/>
      <c r="IJ178" s="33"/>
      <c r="IK178" s="33"/>
      <c r="IL178" s="33"/>
      <c r="IM178" s="33"/>
      <c r="IN178" s="33"/>
      <c r="IO178" s="33"/>
      <c r="IP178" s="33"/>
      <c r="IQ178" s="33"/>
      <c r="IR178" s="33"/>
      <c r="IS178" s="33"/>
      <c r="IT178" s="33"/>
      <c r="IU178" s="33"/>
      <c r="IV178" s="33"/>
      <c r="IW178" s="33"/>
      <c r="IX178" s="33"/>
      <c r="IY178" s="33"/>
      <c r="IZ178" s="33"/>
      <c r="JA178" s="33"/>
      <c r="JB178" s="33"/>
      <c r="JC178" s="33"/>
      <c r="JD178" s="33"/>
      <c r="JE178" s="33"/>
      <c r="JF178" s="33"/>
      <c r="JG178" s="33"/>
      <c r="JH178" s="33"/>
      <c r="JI178" s="33"/>
      <c r="JJ178" s="33"/>
      <c r="JK178" s="33"/>
      <c r="JL178" s="33"/>
      <c r="JM178" s="33"/>
      <c r="JN178" s="33"/>
      <c r="JO178" s="33"/>
      <c r="JP178" s="33"/>
      <c r="JQ178" s="33"/>
      <c r="JR178" s="33"/>
      <c r="JS178" s="33"/>
      <c r="JT178" s="33"/>
      <c r="JU178" s="33"/>
      <c r="JV178" s="33"/>
      <c r="JW178" s="33"/>
      <c r="JX178" s="33"/>
      <c r="JY178" s="33"/>
      <c r="JZ178" s="33"/>
      <c r="KA178" s="33"/>
      <c r="KB178" s="33"/>
      <c r="KC178" s="33"/>
      <c r="KD178" s="33"/>
      <c r="KE178" s="33"/>
      <c r="KF178" s="33"/>
      <c r="KG178" s="33"/>
    </row>
    <row r="179" spans="1:293" s="20" customFormat="1">
      <c r="A179" s="25"/>
      <c r="B179" s="19">
        <v>876</v>
      </c>
      <c r="C179" s="21">
        <v>65.038876009999996</v>
      </c>
      <c r="D179" s="21">
        <v>3.3964714649999999</v>
      </c>
      <c r="E179" s="21">
        <f t="shared" si="58"/>
        <v>0.10189414394999999</v>
      </c>
      <c r="F179" s="19"/>
      <c r="G179" s="19"/>
      <c r="H179" s="21">
        <v>0.50212869199999999</v>
      </c>
      <c r="I179" s="21">
        <v>0.37382011599999998</v>
      </c>
      <c r="J179" s="19">
        <f t="shared" si="59"/>
        <v>0.43797440399999998</v>
      </c>
      <c r="K179" s="19">
        <v>36</v>
      </c>
      <c r="L179" s="19">
        <v>10</v>
      </c>
      <c r="M179" s="19">
        <f t="shared" si="50"/>
        <v>5.4054054054054053</v>
      </c>
      <c r="N179" s="24">
        <v>1</v>
      </c>
      <c r="O179" s="20">
        <f t="shared" si="49"/>
        <v>0.90317746530314091</v>
      </c>
      <c r="P179" s="20">
        <f t="shared" si="60"/>
        <v>1.1072021152170373</v>
      </c>
      <c r="Q179" s="20">
        <f t="shared" si="51"/>
        <v>65.038876009999996</v>
      </c>
      <c r="R179" s="20">
        <f t="shared" si="52"/>
        <v>244.58392173181005</v>
      </c>
      <c r="S179" s="20">
        <f t="shared" si="53"/>
        <v>251.92143938376438</v>
      </c>
      <c r="T179" s="20">
        <f t="shared" si="54"/>
        <v>237.24640407985575</v>
      </c>
      <c r="U179">
        <f t="shared" si="55"/>
        <v>7.3375176519543288</v>
      </c>
      <c r="V179">
        <f t="shared" si="56"/>
        <v>7.3375176519543004</v>
      </c>
      <c r="W179">
        <f t="shared" si="57"/>
        <v>7.3375176519543146</v>
      </c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33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  <c r="HU179" s="33"/>
      <c r="HV179" s="33"/>
      <c r="HW179" s="33"/>
      <c r="HX179" s="33"/>
      <c r="HY179" s="33"/>
      <c r="HZ179" s="33"/>
      <c r="IA179" s="33"/>
      <c r="IB179" s="33"/>
      <c r="IC179" s="33"/>
      <c r="ID179" s="33"/>
      <c r="IE179" s="33"/>
      <c r="IF179" s="33"/>
      <c r="IG179" s="33"/>
      <c r="IH179" s="33"/>
      <c r="II179" s="33"/>
      <c r="IJ179" s="33"/>
      <c r="IK179" s="33"/>
      <c r="IL179" s="33"/>
      <c r="IM179" s="33"/>
      <c r="IN179" s="33"/>
      <c r="IO179" s="33"/>
      <c r="IP179" s="33"/>
      <c r="IQ179" s="33"/>
      <c r="IR179" s="33"/>
      <c r="IS179" s="33"/>
      <c r="IT179" s="33"/>
      <c r="IU179" s="33"/>
      <c r="IV179" s="33"/>
      <c r="IW179" s="33"/>
      <c r="IX179" s="33"/>
      <c r="IY179" s="33"/>
      <c r="IZ179" s="33"/>
      <c r="JA179" s="33"/>
      <c r="JB179" s="33"/>
      <c r="JC179" s="33"/>
      <c r="JD179" s="33"/>
      <c r="JE179" s="33"/>
      <c r="JF179" s="33"/>
      <c r="JG179" s="33"/>
      <c r="JH179" s="33"/>
      <c r="JI179" s="33"/>
      <c r="JJ179" s="33"/>
      <c r="JK179" s="33"/>
      <c r="JL179" s="33"/>
      <c r="JM179" s="33"/>
      <c r="JN179" s="33"/>
      <c r="JO179" s="33"/>
      <c r="JP179" s="33"/>
      <c r="JQ179" s="33"/>
      <c r="JR179" s="33"/>
      <c r="JS179" s="33"/>
      <c r="JT179" s="33"/>
      <c r="JU179" s="33"/>
      <c r="JV179" s="33"/>
      <c r="JW179" s="33"/>
      <c r="JX179" s="33"/>
      <c r="JY179" s="33"/>
      <c r="JZ179" s="33"/>
      <c r="KA179" s="33"/>
      <c r="KB179" s="33"/>
      <c r="KC179" s="33"/>
      <c r="KD179" s="33"/>
      <c r="KE179" s="33"/>
      <c r="KF179" s="33"/>
      <c r="KG179" s="33"/>
    </row>
    <row r="180" spans="1:293" s="20" customFormat="1">
      <c r="A180" s="25"/>
      <c r="B180" s="19">
        <v>876</v>
      </c>
      <c r="C180" s="21">
        <v>75.760874119999997</v>
      </c>
      <c r="D180" s="21">
        <v>3.1206971600000002</v>
      </c>
      <c r="E180" s="21">
        <f t="shared" si="58"/>
        <v>9.3620914799999996E-2</v>
      </c>
      <c r="F180" s="19"/>
      <c r="G180" s="19"/>
      <c r="H180" s="21">
        <v>0.44429166599999997</v>
      </c>
      <c r="I180" s="21">
        <v>0.32653861699999998</v>
      </c>
      <c r="J180" s="19">
        <f t="shared" si="59"/>
        <v>0.3854151415</v>
      </c>
      <c r="K180" s="19">
        <v>36</v>
      </c>
      <c r="L180" s="19">
        <v>10</v>
      </c>
      <c r="M180" s="19">
        <f t="shared" si="50"/>
        <v>5.4054054054054053</v>
      </c>
      <c r="N180" s="24">
        <v>1</v>
      </c>
      <c r="O180" s="20">
        <f t="shared" si="49"/>
        <v>0.90317746530314091</v>
      </c>
      <c r="P180" s="20">
        <f t="shared" si="60"/>
        <v>1.1072021152170373</v>
      </c>
      <c r="Q180" s="20">
        <f t="shared" si="51"/>
        <v>75.760874119999997</v>
      </c>
      <c r="R180" s="20">
        <f t="shared" si="52"/>
        <v>261.77219183169905</v>
      </c>
      <c r="S180" s="20">
        <f t="shared" si="53"/>
        <v>269.62535758664995</v>
      </c>
      <c r="T180" s="20">
        <f t="shared" si="54"/>
        <v>253.91902607674805</v>
      </c>
      <c r="U180">
        <f t="shared" si="55"/>
        <v>7.8531657549509077</v>
      </c>
      <c r="V180">
        <f t="shared" si="56"/>
        <v>7.853165754950993</v>
      </c>
      <c r="W180">
        <f t="shared" si="57"/>
        <v>7.8531657549509504</v>
      </c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33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  <c r="HU180" s="33"/>
      <c r="HV180" s="33"/>
      <c r="HW180" s="33"/>
      <c r="HX180" s="33"/>
      <c r="HY180" s="33"/>
      <c r="HZ180" s="33"/>
      <c r="IA180" s="33"/>
      <c r="IB180" s="33"/>
      <c r="IC180" s="33"/>
      <c r="ID180" s="33"/>
      <c r="IE180" s="33"/>
      <c r="IF180" s="33"/>
      <c r="IG180" s="33"/>
      <c r="IH180" s="33"/>
      <c r="II180" s="33"/>
      <c r="IJ180" s="33"/>
      <c r="IK180" s="33"/>
      <c r="IL180" s="33"/>
      <c r="IM180" s="33"/>
      <c r="IN180" s="33"/>
      <c r="IO180" s="33"/>
      <c r="IP180" s="33"/>
      <c r="IQ180" s="33"/>
      <c r="IR180" s="33"/>
      <c r="IS180" s="33"/>
      <c r="IT180" s="33"/>
      <c r="IU180" s="33"/>
      <c r="IV180" s="33"/>
      <c r="IW180" s="33"/>
      <c r="IX180" s="33"/>
      <c r="IY180" s="33"/>
      <c r="IZ180" s="33"/>
      <c r="JA180" s="33"/>
      <c r="JB180" s="33"/>
      <c r="JC180" s="33"/>
      <c r="JD180" s="33"/>
      <c r="JE180" s="33"/>
      <c r="JF180" s="33"/>
      <c r="JG180" s="33"/>
      <c r="JH180" s="33"/>
      <c r="JI180" s="33"/>
      <c r="JJ180" s="33"/>
      <c r="JK180" s="33"/>
      <c r="JL180" s="33"/>
      <c r="JM180" s="33"/>
      <c r="JN180" s="33"/>
      <c r="JO180" s="33"/>
      <c r="JP180" s="33"/>
      <c r="JQ180" s="33"/>
      <c r="JR180" s="33"/>
      <c r="JS180" s="33"/>
      <c r="JT180" s="33"/>
      <c r="JU180" s="33"/>
      <c r="JV180" s="33"/>
      <c r="JW180" s="33"/>
      <c r="JX180" s="33"/>
      <c r="JY180" s="33"/>
      <c r="JZ180" s="33"/>
      <c r="KA180" s="33"/>
      <c r="KB180" s="33"/>
      <c r="KC180" s="33"/>
      <c r="KD180" s="33"/>
      <c r="KE180" s="33"/>
      <c r="KF180" s="33"/>
      <c r="KG180" s="33"/>
    </row>
    <row r="181" spans="1:293">
      <c r="A181" s="10" t="s">
        <v>10</v>
      </c>
      <c r="B181" s="4">
        <v>1000</v>
      </c>
      <c r="C181" s="4">
        <v>3.96</v>
      </c>
      <c r="D181" s="4">
        <v>8.9831000000000003</v>
      </c>
      <c r="E181" s="8">
        <f t="shared" si="48"/>
        <v>1.5916999999999999</v>
      </c>
      <c r="F181" s="4">
        <v>1.5761000000000001</v>
      </c>
      <c r="G181" s="4">
        <v>1.6073</v>
      </c>
      <c r="H181" s="4">
        <v>0.93945000000000001</v>
      </c>
      <c r="I181" s="4">
        <v>0.94599</v>
      </c>
      <c r="J181" s="4">
        <f>(H181+I181)/2</f>
        <v>0.94272</v>
      </c>
      <c r="K181" s="4">
        <v>0</v>
      </c>
      <c r="L181" s="3">
        <v>10</v>
      </c>
      <c r="M181" s="3">
        <f t="shared" si="50"/>
        <v>5.4054054054054053</v>
      </c>
      <c r="N181" s="15">
        <v>1</v>
      </c>
      <c r="O181">
        <f t="shared" si="49"/>
        <v>0.90317746530314091</v>
      </c>
      <c r="P181" s="5">
        <v>0.95720000000000005</v>
      </c>
      <c r="Q181">
        <f t="shared" si="51"/>
        <v>3.96</v>
      </c>
      <c r="R181">
        <f t="shared" si="52"/>
        <v>34.050548347199999</v>
      </c>
      <c r="S181">
        <f t="shared" si="53"/>
        <v>40.083906297600002</v>
      </c>
      <c r="T181">
        <f t="shared" si="54"/>
        <v>28.017190396800004</v>
      </c>
      <c r="U181">
        <f t="shared" si="55"/>
        <v>6.0333579504000028</v>
      </c>
      <c r="V181">
        <f t="shared" si="56"/>
        <v>6.0333579503999957</v>
      </c>
      <c r="W181">
        <f t="shared" si="57"/>
        <v>6.0333579503999992</v>
      </c>
    </row>
    <row r="182" spans="1:293">
      <c r="A182" s="65" t="s">
        <v>77</v>
      </c>
      <c r="B182" s="4">
        <v>1000</v>
      </c>
      <c r="C182" s="4">
        <v>4.9617000000000004</v>
      </c>
      <c r="D182" s="4">
        <v>7.33</v>
      </c>
      <c r="E182" s="8">
        <f t="shared" si="48"/>
        <v>1.5277499999999999</v>
      </c>
      <c r="F182" s="4">
        <v>1.5306999999999999</v>
      </c>
      <c r="G182" s="4">
        <v>1.5247999999999999</v>
      </c>
      <c r="H182" s="4">
        <v>0.97699999999999998</v>
      </c>
      <c r="I182" s="4">
        <v>0.99</v>
      </c>
      <c r="J182" s="4">
        <f t="shared" ref="J182:J189" si="61">(H182+I182)/2</f>
        <v>0.98350000000000004</v>
      </c>
      <c r="K182" s="4">
        <v>0</v>
      </c>
      <c r="L182" s="3">
        <v>10</v>
      </c>
      <c r="M182" s="3">
        <f t="shared" si="50"/>
        <v>5.4054054054054053</v>
      </c>
      <c r="N182" s="15">
        <v>1</v>
      </c>
      <c r="O182">
        <f t="shared" si="49"/>
        <v>0.90317746530314091</v>
      </c>
      <c r="P182" s="5">
        <v>0.95720000000000005</v>
      </c>
      <c r="Q182">
        <f t="shared" si="51"/>
        <v>4.9617000000000004</v>
      </c>
      <c r="R182">
        <f t="shared" si="52"/>
        <v>34.812656629200006</v>
      </c>
      <c r="S182">
        <f t="shared" si="53"/>
        <v>42.068459653110004</v>
      </c>
      <c r="T182">
        <f t="shared" si="54"/>
        <v>27.556853605290001</v>
      </c>
      <c r="U182">
        <f t="shared" si="55"/>
        <v>7.2558030239099978</v>
      </c>
      <c r="V182">
        <f t="shared" si="56"/>
        <v>7.2558030239100049</v>
      </c>
      <c r="W182">
        <f t="shared" si="57"/>
        <v>7.2558030239100013</v>
      </c>
    </row>
    <row r="183" spans="1:293">
      <c r="A183" s="9" t="s">
        <v>61</v>
      </c>
      <c r="B183" s="4">
        <v>1000</v>
      </c>
      <c r="C183" s="4">
        <v>6.4265999999999996</v>
      </c>
      <c r="D183" s="4">
        <v>6.4250999999999996</v>
      </c>
      <c r="E183" s="8">
        <f t="shared" si="48"/>
        <v>1.2601499999999999</v>
      </c>
      <c r="F183" s="4">
        <v>1.222</v>
      </c>
      <c r="G183" s="4">
        <v>1.2983</v>
      </c>
      <c r="H183" s="4">
        <v>1.208</v>
      </c>
      <c r="I183" s="4">
        <v>1.2419</v>
      </c>
      <c r="J183" s="4">
        <f t="shared" si="61"/>
        <v>1.22495</v>
      </c>
      <c r="K183" s="4">
        <v>0</v>
      </c>
      <c r="L183" s="3">
        <v>10</v>
      </c>
      <c r="M183" s="3">
        <f t="shared" si="50"/>
        <v>5.4054054054054053</v>
      </c>
      <c r="N183" s="15">
        <v>1</v>
      </c>
      <c r="O183">
        <f t="shared" si="49"/>
        <v>0.90317746530314091</v>
      </c>
      <c r="P183" s="5">
        <v>0.95720000000000005</v>
      </c>
      <c r="Q183">
        <f t="shared" si="51"/>
        <v>6.4265999999999996</v>
      </c>
      <c r="R183">
        <f t="shared" si="52"/>
        <v>39.524269420151995</v>
      </c>
      <c r="S183">
        <f t="shared" si="53"/>
        <v>47.276134466579997</v>
      </c>
      <c r="T183">
        <f t="shared" si="54"/>
        <v>31.772404373723994</v>
      </c>
      <c r="U183">
        <f t="shared" si="55"/>
        <v>7.7518650464280014</v>
      </c>
      <c r="V183">
        <f t="shared" si="56"/>
        <v>7.7518650464280014</v>
      </c>
      <c r="W183">
        <f t="shared" si="57"/>
        <v>7.7518650464280014</v>
      </c>
    </row>
    <row r="184" spans="1:293">
      <c r="A184" s="9" t="s">
        <v>62</v>
      </c>
      <c r="B184" s="4">
        <v>1000</v>
      </c>
      <c r="C184" s="4">
        <v>7.67</v>
      </c>
      <c r="D184" s="4">
        <v>5.3</v>
      </c>
      <c r="E184" s="8">
        <f t="shared" si="48"/>
        <v>0.95930500000000007</v>
      </c>
      <c r="F184" s="4">
        <v>0.99546000000000001</v>
      </c>
      <c r="G184" s="4">
        <v>0.92315000000000003</v>
      </c>
      <c r="H184" s="4">
        <v>1.3624000000000001</v>
      </c>
      <c r="I184" s="4">
        <v>1.2538</v>
      </c>
      <c r="J184" s="4">
        <f t="shared" si="61"/>
        <v>1.3081</v>
      </c>
      <c r="K184" s="4">
        <v>0</v>
      </c>
      <c r="L184" s="3">
        <v>10</v>
      </c>
      <c r="M184" s="3">
        <f t="shared" si="50"/>
        <v>5.4054054054054053</v>
      </c>
      <c r="N184" s="15">
        <v>1</v>
      </c>
      <c r="O184">
        <f t="shared" si="49"/>
        <v>0.90317746530314091</v>
      </c>
      <c r="P184" s="5">
        <v>0.95720000000000005</v>
      </c>
      <c r="Q184">
        <f t="shared" si="51"/>
        <v>7.67</v>
      </c>
      <c r="R184">
        <f t="shared" si="52"/>
        <v>38.911137199999999</v>
      </c>
      <c r="S184">
        <f t="shared" si="53"/>
        <v>45.954089741819999</v>
      </c>
      <c r="T184">
        <f t="shared" si="54"/>
        <v>31.868184658180002</v>
      </c>
      <c r="U184">
        <f t="shared" si="55"/>
        <v>7.0429525418200001</v>
      </c>
      <c r="V184">
        <f t="shared" si="56"/>
        <v>7.0429525418199965</v>
      </c>
      <c r="W184">
        <f t="shared" si="57"/>
        <v>7.0429525418199983</v>
      </c>
    </row>
    <row r="185" spans="1:293">
      <c r="A185" s="9">
        <v>39.54400656</v>
      </c>
      <c r="B185" s="4">
        <v>1000</v>
      </c>
      <c r="C185" s="4">
        <v>9.83</v>
      </c>
      <c r="D185" s="4">
        <v>5.64</v>
      </c>
      <c r="E185" s="8">
        <f t="shared" si="48"/>
        <v>0.65374500000000002</v>
      </c>
      <c r="F185" s="4">
        <v>0.68066000000000004</v>
      </c>
      <c r="G185" s="4">
        <v>0.62683</v>
      </c>
      <c r="H185" s="4">
        <v>1.5363</v>
      </c>
      <c r="I185" s="4">
        <v>1.5318000000000001</v>
      </c>
      <c r="J185" s="4">
        <f t="shared" si="61"/>
        <v>1.5340500000000001</v>
      </c>
      <c r="K185" s="4">
        <v>0</v>
      </c>
      <c r="L185" s="3">
        <v>10</v>
      </c>
      <c r="M185" s="3">
        <f t="shared" si="50"/>
        <v>5.4054054054054053</v>
      </c>
      <c r="N185" s="15">
        <v>1</v>
      </c>
      <c r="O185">
        <f t="shared" si="49"/>
        <v>0.90317746530314091</v>
      </c>
      <c r="P185" s="5">
        <v>0.95720000000000005</v>
      </c>
      <c r="Q185">
        <f t="shared" si="51"/>
        <v>9.83</v>
      </c>
      <c r="R185">
        <f t="shared" si="52"/>
        <v>53.068316639999999</v>
      </c>
      <c r="S185">
        <f t="shared" si="53"/>
        <v>59.219583778619999</v>
      </c>
      <c r="T185">
        <f t="shared" si="54"/>
        <v>46.917049501380006</v>
      </c>
      <c r="U185">
        <f t="shared" si="55"/>
        <v>6.1512671386199997</v>
      </c>
      <c r="V185">
        <f t="shared" si="56"/>
        <v>6.1512671386199926</v>
      </c>
      <c r="W185">
        <f t="shared" si="57"/>
        <v>6.1512671386199962</v>
      </c>
    </row>
    <row r="186" spans="1:293">
      <c r="A186" s="9" t="s">
        <v>22</v>
      </c>
      <c r="B186" s="4">
        <v>1000</v>
      </c>
      <c r="C186" s="4">
        <v>15.159000000000001</v>
      </c>
      <c r="D186" s="4">
        <v>4.6135999999999999</v>
      </c>
      <c r="E186" s="8">
        <f t="shared" si="48"/>
        <v>0.71075500000000003</v>
      </c>
      <c r="F186" s="4">
        <v>0.65924000000000005</v>
      </c>
      <c r="G186" s="4">
        <v>0.76227</v>
      </c>
      <c r="H186" s="4">
        <v>1.6274999999999999</v>
      </c>
      <c r="I186" s="4">
        <v>1.6103000000000001</v>
      </c>
      <c r="J186" s="4">
        <f t="shared" si="61"/>
        <v>1.6189</v>
      </c>
      <c r="K186" s="4">
        <v>0</v>
      </c>
      <c r="L186" s="3">
        <v>10</v>
      </c>
      <c r="M186" s="3">
        <f t="shared" si="50"/>
        <v>5.4054054054054053</v>
      </c>
      <c r="N186" s="15">
        <v>1</v>
      </c>
      <c r="O186">
        <f t="shared" si="49"/>
        <v>0.90317746530314091</v>
      </c>
      <c r="P186" s="5">
        <v>0.95720000000000005</v>
      </c>
      <c r="Q186">
        <f t="shared" si="51"/>
        <v>15.159000000000001</v>
      </c>
      <c r="R186">
        <f t="shared" si="52"/>
        <v>66.944234729280012</v>
      </c>
      <c r="S186">
        <f t="shared" si="53"/>
        <v>77.257428234354009</v>
      </c>
      <c r="T186">
        <f t="shared" si="54"/>
        <v>56.631041224206008</v>
      </c>
      <c r="U186">
        <f t="shared" si="55"/>
        <v>10.313193505073997</v>
      </c>
      <c r="V186">
        <f t="shared" si="56"/>
        <v>10.313193505074004</v>
      </c>
      <c r="W186">
        <f t="shared" si="57"/>
        <v>10.313193505074</v>
      </c>
    </row>
    <row r="187" spans="1:293">
      <c r="A187" s="9">
        <v>41.310256410299999</v>
      </c>
      <c r="B187" s="4">
        <v>1000</v>
      </c>
      <c r="C187" s="4">
        <v>25.75</v>
      </c>
      <c r="D187" s="4">
        <v>4.1314000000000002</v>
      </c>
      <c r="E187" s="8">
        <f t="shared" si="48"/>
        <v>0.63315500000000002</v>
      </c>
      <c r="F187" s="4">
        <v>0.50046000000000002</v>
      </c>
      <c r="G187" s="4">
        <v>0.76585000000000003</v>
      </c>
      <c r="H187" s="4">
        <v>2.1774</v>
      </c>
      <c r="I187" s="4">
        <v>2.0257000000000001</v>
      </c>
      <c r="J187" s="4">
        <f t="shared" si="61"/>
        <v>2.10155</v>
      </c>
      <c r="K187" s="4">
        <v>0</v>
      </c>
      <c r="L187" s="3">
        <v>10</v>
      </c>
      <c r="M187" s="3">
        <f t="shared" si="50"/>
        <v>5.4054054054054053</v>
      </c>
      <c r="N187" s="15">
        <v>1</v>
      </c>
      <c r="O187">
        <f t="shared" si="49"/>
        <v>0.90317746530314091</v>
      </c>
      <c r="P187" s="5">
        <v>0.95720000000000005</v>
      </c>
      <c r="Q187">
        <f t="shared" si="51"/>
        <v>25.75</v>
      </c>
      <c r="R187">
        <f t="shared" si="52"/>
        <v>101.83033406</v>
      </c>
      <c r="S187">
        <f t="shared" si="53"/>
        <v>117.43627518450002</v>
      </c>
      <c r="T187">
        <f t="shared" si="54"/>
        <v>86.22439293550002</v>
      </c>
      <c r="U187">
        <f t="shared" si="55"/>
        <v>15.605941124500021</v>
      </c>
      <c r="V187">
        <f t="shared" si="56"/>
        <v>15.605941124499978</v>
      </c>
      <c r="W187">
        <f t="shared" si="57"/>
        <v>15.605941124499999</v>
      </c>
    </row>
    <row r="188" spans="1:293">
      <c r="A188" s="9"/>
      <c r="B188" s="4">
        <v>1000</v>
      </c>
      <c r="C188" s="4">
        <v>57.76</v>
      </c>
      <c r="D188" s="4">
        <v>3.35</v>
      </c>
      <c r="E188" s="8">
        <f t="shared" si="48"/>
        <v>0.41076000000000001</v>
      </c>
      <c r="F188" s="4">
        <v>0.43583</v>
      </c>
      <c r="G188" s="4">
        <v>0.38568999999999998</v>
      </c>
      <c r="H188" s="4">
        <v>2.4954000000000001</v>
      </c>
      <c r="I188" s="4">
        <v>2.9902000000000002</v>
      </c>
      <c r="J188" s="4">
        <f t="shared" si="61"/>
        <v>2.7427999999999999</v>
      </c>
      <c r="K188" s="4">
        <v>0</v>
      </c>
      <c r="L188" s="3">
        <v>10</v>
      </c>
      <c r="M188" s="3">
        <f t="shared" si="50"/>
        <v>5.4054054054054053</v>
      </c>
      <c r="N188" s="15">
        <v>1</v>
      </c>
      <c r="O188">
        <f t="shared" si="49"/>
        <v>0.90317746530314091</v>
      </c>
      <c r="P188" s="5">
        <v>0.95720000000000005</v>
      </c>
      <c r="Q188">
        <f t="shared" si="51"/>
        <v>57.76</v>
      </c>
      <c r="R188">
        <f t="shared" si="52"/>
        <v>185.21437120000002</v>
      </c>
      <c r="S188">
        <f t="shared" si="53"/>
        <v>207.92441750272002</v>
      </c>
      <c r="T188">
        <f t="shared" si="54"/>
        <v>162.50432489728001</v>
      </c>
      <c r="U188">
        <f t="shared" si="55"/>
        <v>22.710046302720002</v>
      </c>
      <c r="V188">
        <f t="shared" si="56"/>
        <v>22.710046302720002</v>
      </c>
      <c r="W188">
        <f t="shared" si="57"/>
        <v>22.710046302720002</v>
      </c>
      <c r="AU188" s="59"/>
    </row>
    <row r="189" spans="1:293">
      <c r="A189" s="9"/>
      <c r="B189" s="4">
        <v>1000</v>
      </c>
      <c r="C189" s="4">
        <v>65.7</v>
      </c>
      <c r="D189" s="4">
        <v>3.0737999999999999</v>
      </c>
      <c r="E189" s="8">
        <f t="shared" si="48"/>
        <v>0.44126500000000002</v>
      </c>
      <c r="F189" s="4">
        <v>0.41826000000000002</v>
      </c>
      <c r="G189" s="4">
        <v>0.46427000000000002</v>
      </c>
      <c r="H189" s="4">
        <v>1.6331</v>
      </c>
      <c r="I189" s="4">
        <v>2.1002000000000001</v>
      </c>
      <c r="J189" s="4">
        <f t="shared" si="61"/>
        <v>1.8666499999999999</v>
      </c>
      <c r="K189" s="4">
        <v>0</v>
      </c>
      <c r="L189" s="3">
        <v>10</v>
      </c>
      <c r="M189" s="3">
        <f t="shared" si="50"/>
        <v>5.4054054054054053</v>
      </c>
      <c r="N189" s="15">
        <v>1</v>
      </c>
      <c r="O189">
        <f t="shared" si="49"/>
        <v>0.90317746530314091</v>
      </c>
      <c r="P189" s="5">
        <v>0.95720000000000005</v>
      </c>
      <c r="Q189">
        <f t="shared" si="51"/>
        <v>65.7</v>
      </c>
      <c r="R189">
        <f t="shared" si="52"/>
        <v>193.30525735200001</v>
      </c>
      <c r="S189">
        <f t="shared" si="53"/>
        <v>221.05554832260003</v>
      </c>
      <c r="T189">
        <f t="shared" si="54"/>
        <v>165.55496638140002</v>
      </c>
      <c r="U189">
        <f t="shared" si="55"/>
        <v>27.75029097060002</v>
      </c>
      <c r="V189">
        <f t="shared" si="56"/>
        <v>27.750290970599991</v>
      </c>
      <c r="W189">
        <f t="shared" si="57"/>
        <v>27.750290970600005</v>
      </c>
    </row>
    <row r="190" spans="1:293" s="20" customFormat="1">
      <c r="A190" s="18" t="s">
        <v>19</v>
      </c>
      <c r="B190" s="19">
        <v>1020</v>
      </c>
      <c r="C190" s="19">
        <v>4.95</v>
      </c>
      <c r="D190" s="19">
        <v>7</v>
      </c>
      <c r="E190" s="21">
        <v>0.3</v>
      </c>
      <c r="F190" s="19"/>
      <c r="G190" s="19"/>
      <c r="H190" s="19">
        <v>0.83</v>
      </c>
      <c r="I190" s="19">
        <v>0.83</v>
      </c>
      <c r="J190" s="19">
        <v>0.83</v>
      </c>
      <c r="K190" s="19">
        <v>0</v>
      </c>
      <c r="L190" s="19">
        <v>10</v>
      </c>
      <c r="M190" s="19">
        <f t="shared" si="50"/>
        <v>5.4054054054054053</v>
      </c>
      <c r="N190" s="24">
        <v>0.90300000000000002</v>
      </c>
      <c r="O190" s="20">
        <f t="shared" si="49"/>
        <v>0.90317746530314091</v>
      </c>
      <c r="P190" s="20">
        <f t="shared" ref="P190:P253" si="62">N190/O190</f>
        <v>0.99980351004098478</v>
      </c>
      <c r="Q190" s="20">
        <f t="shared" si="51"/>
        <v>4.95</v>
      </c>
      <c r="R190" s="20">
        <f t="shared" si="52"/>
        <v>34.643191622920121</v>
      </c>
      <c r="S190" s="20">
        <f t="shared" si="53"/>
        <v>36.127899835330986</v>
      </c>
      <c r="T190" s="20">
        <f t="shared" si="54"/>
        <v>33.158483410509263</v>
      </c>
      <c r="U190">
        <f t="shared" si="55"/>
        <v>1.4847082124108653</v>
      </c>
      <c r="V190">
        <f t="shared" si="56"/>
        <v>1.4847082124108582</v>
      </c>
      <c r="W190">
        <f t="shared" si="57"/>
        <v>1.4847082124108617</v>
      </c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33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  <c r="HU190" s="33"/>
      <c r="HV190" s="33"/>
      <c r="HW190" s="33"/>
      <c r="HX190" s="33"/>
      <c r="HY190" s="33"/>
      <c r="HZ190" s="33"/>
      <c r="IA190" s="33"/>
      <c r="IB190" s="33"/>
      <c r="IC190" s="33"/>
      <c r="ID190" s="33"/>
      <c r="IE190" s="33"/>
      <c r="IF190" s="33"/>
      <c r="IG190" s="33"/>
      <c r="IH190" s="33"/>
      <c r="II190" s="33"/>
      <c r="IJ190" s="33"/>
      <c r="IK190" s="33"/>
      <c r="IL190" s="33"/>
      <c r="IM190" s="33"/>
      <c r="IN190" s="33"/>
      <c r="IO190" s="33"/>
      <c r="IP190" s="33"/>
      <c r="IQ190" s="33"/>
      <c r="IR190" s="33"/>
      <c r="IS190" s="33"/>
      <c r="IT190" s="33"/>
      <c r="IU190" s="33"/>
      <c r="IV190" s="33"/>
      <c r="IW190" s="33"/>
      <c r="IX190" s="33"/>
      <c r="IY190" s="33"/>
      <c r="IZ190" s="33"/>
      <c r="JA190" s="33"/>
      <c r="JB190" s="33"/>
      <c r="JC190" s="33"/>
      <c r="JD190" s="33"/>
      <c r="JE190" s="33"/>
      <c r="JF190" s="33"/>
      <c r="JG190" s="33"/>
      <c r="JH190" s="33"/>
      <c r="JI190" s="33"/>
      <c r="JJ190" s="33"/>
      <c r="JK190" s="33"/>
      <c r="JL190" s="33"/>
      <c r="JM190" s="33"/>
      <c r="JN190" s="33"/>
      <c r="JO190" s="33"/>
      <c r="JP190" s="33"/>
      <c r="JQ190" s="33"/>
      <c r="JR190" s="33"/>
      <c r="JS190" s="33"/>
      <c r="JT190" s="33"/>
      <c r="JU190" s="33"/>
      <c r="JV190" s="33"/>
      <c r="JW190" s="33"/>
      <c r="JX190" s="33"/>
      <c r="JY190" s="33"/>
      <c r="JZ190" s="33"/>
      <c r="KA190" s="33"/>
      <c r="KB190" s="33"/>
      <c r="KC190" s="33"/>
      <c r="KD190" s="33"/>
      <c r="KE190" s="33"/>
      <c r="KF190" s="33"/>
      <c r="KG190" s="33"/>
    </row>
    <row r="191" spans="1:293" s="20" customFormat="1">
      <c r="A191" s="65" t="s">
        <v>79</v>
      </c>
      <c r="B191" s="19">
        <v>1020</v>
      </c>
      <c r="C191" s="19">
        <v>6.6</v>
      </c>
      <c r="D191" s="19">
        <v>6</v>
      </c>
      <c r="E191" s="21">
        <v>0.1</v>
      </c>
      <c r="F191" s="19"/>
      <c r="G191" s="19"/>
      <c r="H191" s="19">
        <v>1.52</v>
      </c>
      <c r="I191" s="19">
        <v>1.52</v>
      </c>
      <c r="J191" s="19">
        <v>1.52</v>
      </c>
      <c r="K191" s="19">
        <v>0</v>
      </c>
      <c r="L191" s="19">
        <v>10</v>
      </c>
      <c r="M191" s="19">
        <f t="shared" si="50"/>
        <v>5.4054054054054053</v>
      </c>
      <c r="N191" s="24">
        <v>0.90300000000000002</v>
      </c>
      <c r="O191" s="20">
        <f t="shared" si="49"/>
        <v>0.90317746530314091</v>
      </c>
      <c r="P191" s="20">
        <f t="shared" si="62"/>
        <v>0.99980351004098478</v>
      </c>
      <c r="Q191" s="20">
        <f t="shared" si="51"/>
        <v>6.6</v>
      </c>
      <c r="R191" s="20">
        <f t="shared" si="52"/>
        <v>39.592218997622993</v>
      </c>
      <c r="S191" s="20">
        <f t="shared" si="53"/>
        <v>40.252089314250043</v>
      </c>
      <c r="T191" s="20">
        <f t="shared" si="54"/>
        <v>38.932348680995943</v>
      </c>
      <c r="U191">
        <f t="shared" si="55"/>
        <v>0.65987031662704965</v>
      </c>
      <c r="V191">
        <f t="shared" si="56"/>
        <v>0.65987031662704965</v>
      </c>
      <c r="W191">
        <f t="shared" si="57"/>
        <v>0.65987031662704965</v>
      </c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33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  <c r="HU191" s="33"/>
      <c r="HV191" s="33"/>
      <c r="HW191" s="33"/>
      <c r="HX191" s="33"/>
      <c r="HY191" s="33"/>
      <c r="HZ191" s="33"/>
      <c r="IA191" s="33"/>
      <c r="IB191" s="33"/>
      <c r="IC191" s="33"/>
      <c r="ID191" s="33"/>
      <c r="IE191" s="33"/>
      <c r="IF191" s="33"/>
      <c r="IG191" s="33"/>
      <c r="IH191" s="33"/>
      <c r="II191" s="33"/>
      <c r="IJ191" s="33"/>
      <c r="IK191" s="33"/>
      <c r="IL191" s="33"/>
      <c r="IM191" s="33"/>
      <c r="IN191" s="33"/>
      <c r="IO191" s="33"/>
      <c r="IP191" s="33"/>
      <c r="IQ191" s="33"/>
      <c r="IR191" s="33"/>
      <c r="IS191" s="33"/>
      <c r="IT191" s="33"/>
      <c r="IU191" s="33"/>
      <c r="IV191" s="33"/>
      <c r="IW191" s="33"/>
      <c r="IX191" s="33"/>
      <c r="IY191" s="33"/>
      <c r="IZ191" s="33"/>
      <c r="JA191" s="33"/>
      <c r="JB191" s="33"/>
      <c r="JC191" s="33"/>
      <c r="JD191" s="33"/>
      <c r="JE191" s="33"/>
      <c r="JF191" s="33"/>
      <c r="JG191" s="33"/>
      <c r="JH191" s="33"/>
      <c r="JI191" s="33"/>
      <c r="JJ191" s="33"/>
      <c r="JK191" s="33"/>
      <c r="JL191" s="33"/>
      <c r="JM191" s="33"/>
      <c r="JN191" s="33"/>
      <c r="JO191" s="33"/>
      <c r="JP191" s="33"/>
      <c r="JQ191" s="33"/>
      <c r="JR191" s="33"/>
      <c r="JS191" s="33"/>
      <c r="JT191" s="33"/>
      <c r="JU191" s="33"/>
      <c r="JV191" s="33"/>
      <c r="JW191" s="33"/>
      <c r="JX191" s="33"/>
      <c r="JY191" s="33"/>
      <c r="JZ191" s="33"/>
      <c r="KA191" s="33"/>
      <c r="KB191" s="33"/>
      <c r="KC191" s="33"/>
      <c r="KD191" s="33"/>
      <c r="KE191" s="33"/>
      <c r="KF191" s="33"/>
      <c r="KG191" s="33"/>
    </row>
    <row r="192" spans="1:293" s="20" customFormat="1">
      <c r="A192" s="18"/>
      <c r="B192" s="19">
        <v>1020</v>
      </c>
      <c r="C192" s="19">
        <v>10.62</v>
      </c>
      <c r="D192" s="19">
        <v>6</v>
      </c>
      <c r="E192" s="21">
        <v>0.1</v>
      </c>
      <c r="F192" s="19"/>
      <c r="G192" s="19"/>
      <c r="H192" s="19">
        <v>1.54</v>
      </c>
      <c r="I192" s="19">
        <v>1.54</v>
      </c>
      <c r="J192" s="19">
        <v>1.54</v>
      </c>
      <c r="K192" s="19">
        <v>0</v>
      </c>
      <c r="L192" s="19">
        <v>10</v>
      </c>
      <c r="M192" s="19">
        <f t="shared" si="50"/>
        <v>5.4054054054054053</v>
      </c>
      <c r="N192" s="24">
        <v>0.90300000000000002</v>
      </c>
      <c r="O192" s="20">
        <f t="shared" si="49"/>
        <v>0.90317746530314091</v>
      </c>
      <c r="P192" s="20">
        <f t="shared" si="62"/>
        <v>0.99980351004098478</v>
      </c>
      <c r="Q192" s="20">
        <f t="shared" si="51"/>
        <v>10.62</v>
      </c>
      <c r="R192" s="20">
        <f t="shared" si="52"/>
        <v>63.707479659811547</v>
      </c>
      <c r="S192" s="20">
        <f t="shared" si="53"/>
        <v>64.769270987475068</v>
      </c>
      <c r="T192" s="20">
        <f t="shared" si="54"/>
        <v>62.645688332148026</v>
      </c>
      <c r="U192">
        <f t="shared" si="55"/>
        <v>1.0617913276635207</v>
      </c>
      <c r="V192">
        <f t="shared" si="56"/>
        <v>1.0617913276635207</v>
      </c>
      <c r="W192">
        <f t="shared" si="57"/>
        <v>1.0617913276635207</v>
      </c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  <c r="FT192" s="33"/>
      <c r="FU192" s="33"/>
      <c r="FV192" s="33"/>
      <c r="FW192" s="33"/>
      <c r="FX192" s="33"/>
      <c r="FY192" s="33"/>
      <c r="FZ192" s="33"/>
      <c r="GA192" s="33"/>
      <c r="GB192" s="33"/>
      <c r="GC192" s="33"/>
      <c r="GD192" s="33"/>
      <c r="GE192" s="33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33"/>
      <c r="GR192" s="33"/>
      <c r="GS192" s="33"/>
      <c r="GT192" s="33"/>
      <c r="GU192" s="33"/>
      <c r="GV192" s="33"/>
      <c r="GW192" s="33"/>
      <c r="GX192" s="33"/>
      <c r="GY192" s="33"/>
      <c r="GZ192" s="33"/>
      <c r="HA192" s="33"/>
      <c r="HB192" s="33"/>
      <c r="HC192" s="33"/>
      <c r="HD192" s="33"/>
      <c r="HE192" s="33"/>
      <c r="HF192" s="33"/>
      <c r="HG192" s="33"/>
      <c r="HH192" s="33"/>
      <c r="HI192" s="33"/>
      <c r="HJ192" s="33"/>
      <c r="HK192" s="33"/>
      <c r="HL192" s="33"/>
      <c r="HM192" s="33"/>
      <c r="HN192" s="33"/>
      <c r="HO192" s="33"/>
      <c r="HP192" s="33"/>
      <c r="HQ192" s="33"/>
      <c r="HR192" s="33"/>
      <c r="HS192" s="33"/>
      <c r="HT192" s="33"/>
      <c r="HU192" s="33"/>
      <c r="HV192" s="33"/>
      <c r="HW192" s="33"/>
      <c r="HX192" s="33"/>
      <c r="HY192" s="33"/>
      <c r="HZ192" s="33"/>
      <c r="IA192" s="33"/>
      <c r="IB192" s="33"/>
      <c r="IC192" s="33"/>
      <c r="ID192" s="33"/>
      <c r="IE192" s="33"/>
      <c r="IF192" s="33"/>
      <c r="IG192" s="33"/>
      <c r="IH192" s="33"/>
      <c r="II192" s="33"/>
      <c r="IJ192" s="33"/>
      <c r="IK192" s="33"/>
      <c r="IL192" s="33"/>
      <c r="IM192" s="33"/>
      <c r="IN192" s="33"/>
      <c r="IO192" s="33"/>
      <c r="IP192" s="33"/>
      <c r="IQ192" s="33"/>
      <c r="IR192" s="33"/>
      <c r="IS192" s="33"/>
      <c r="IT192" s="33"/>
      <c r="IU192" s="33"/>
      <c r="IV192" s="33"/>
      <c r="IW192" s="33"/>
      <c r="IX192" s="33"/>
      <c r="IY192" s="33"/>
      <c r="IZ192" s="33"/>
      <c r="JA192" s="33"/>
      <c r="JB192" s="33"/>
      <c r="JC192" s="33"/>
      <c r="JD192" s="33"/>
      <c r="JE192" s="33"/>
      <c r="JF192" s="33"/>
      <c r="JG192" s="33"/>
      <c r="JH192" s="33"/>
      <c r="JI192" s="33"/>
      <c r="JJ192" s="33"/>
      <c r="JK192" s="33"/>
      <c r="JL192" s="33"/>
      <c r="JM192" s="33"/>
      <c r="JN192" s="33"/>
      <c r="JO192" s="33"/>
      <c r="JP192" s="33"/>
      <c r="JQ192" s="33"/>
      <c r="JR192" s="33"/>
      <c r="JS192" s="33"/>
      <c r="JT192" s="33"/>
      <c r="JU192" s="33"/>
      <c r="JV192" s="33"/>
      <c r="JW192" s="33"/>
      <c r="JX192" s="33"/>
      <c r="JY192" s="33"/>
      <c r="JZ192" s="33"/>
      <c r="KA192" s="33"/>
      <c r="KB192" s="33"/>
      <c r="KC192" s="33"/>
      <c r="KD192" s="33"/>
      <c r="KE192" s="33"/>
      <c r="KF192" s="33"/>
      <c r="KG192" s="33"/>
    </row>
    <row r="193" spans="1:293" s="20" customFormat="1">
      <c r="A193" s="18"/>
      <c r="B193" s="19">
        <v>1020</v>
      </c>
      <c r="C193" s="19">
        <v>13.95</v>
      </c>
      <c r="D193" s="19">
        <v>6.1</v>
      </c>
      <c r="E193" s="21">
        <v>0.1</v>
      </c>
      <c r="F193" s="19"/>
      <c r="G193" s="19"/>
      <c r="H193" s="19">
        <v>2.46</v>
      </c>
      <c r="I193" s="19">
        <v>2.46</v>
      </c>
      <c r="J193" s="19">
        <v>2.46</v>
      </c>
      <c r="K193" s="19">
        <v>0</v>
      </c>
      <c r="L193" s="19">
        <v>10</v>
      </c>
      <c r="M193" s="19">
        <f t="shared" si="50"/>
        <v>5.4054054054054053</v>
      </c>
      <c r="N193" s="24">
        <v>0.90300000000000002</v>
      </c>
      <c r="O193" s="20">
        <f t="shared" si="49"/>
        <v>0.90317746530314091</v>
      </c>
      <c r="P193" s="20">
        <f t="shared" si="62"/>
        <v>0.99980351004098478</v>
      </c>
      <c r="Q193" s="20">
        <f t="shared" si="51"/>
        <v>13.95</v>
      </c>
      <c r="R193" s="20">
        <f t="shared" si="52"/>
        <v>85.078279686937577</v>
      </c>
      <c r="S193" s="20">
        <f t="shared" si="53"/>
        <v>86.47300558344476</v>
      </c>
      <c r="T193" s="20">
        <f t="shared" si="54"/>
        <v>83.683553790430409</v>
      </c>
      <c r="U193">
        <f t="shared" si="55"/>
        <v>1.3947258965071825</v>
      </c>
      <c r="V193">
        <f t="shared" si="56"/>
        <v>1.3947258965071683</v>
      </c>
      <c r="W193">
        <f t="shared" si="57"/>
        <v>1.3947258965071754</v>
      </c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  <c r="FT193" s="33"/>
      <c r="FU193" s="33"/>
      <c r="FV193" s="33"/>
      <c r="FW193" s="33"/>
      <c r="FX193" s="33"/>
      <c r="FY193" s="33"/>
      <c r="FZ193" s="33"/>
      <c r="GA193" s="33"/>
      <c r="GB193" s="33"/>
      <c r="GC193" s="33"/>
      <c r="GD193" s="33"/>
      <c r="GE193" s="33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33"/>
      <c r="GR193" s="33"/>
      <c r="GS193" s="33"/>
      <c r="GT193" s="33"/>
      <c r="GU193" s="33"/>
      <c r="GV193" s="33"/>
      <c r="GW193" s="33"/>
      <c r="GX193" s="33"/>
      <c r="GY193" s="33"/>
      <c r="GZ193" s="33"/>
      <c r="HA193" s="33"/>
      <c r="HB193" s="33"/>
      <c r="HC193" s="33"/>
      <c r="HD193" s="33"/>
      <c r="HE193" s="33"/>
      <c r="HF193" s="33"/>
      <c r="HG193" s="33"/>
      <c r="HH193" s="33"/>
      <c r="HI193" s="33"/>
      <c r="HJ193" s="33"/>
      <c r="HK193" s="33"/>
      <c r="HL193" s="33"/>
      <c r="HM193" s="33"/>
      <c r="HN193" s="33"/>
      <c r="HO193" s="33"/>
      <c r="HP193" s="33"/>
      <c r="HQ193" s="33"/>
      <c r="HR193" s="33"/>
      <c r="HS193" s="33"/>
      <c r="HT193" s="33"/>
      <c r="HU193" s="33"/>
      <c r="HV193" s="33"/>
      <c r="HW193" s="33"/>
      <c r="HX193" s="33"/>
      <c r="HY193" s="33"/>
      <c r="HZ193" s="33"/>
      <c r="IA193" s="33"/>
      <c r="IB193" s="33"/>
      <c r="IC193" s="33"/>
      <c r="ID193" s="33"/>
      <c r="IE193" s="33"/>
      <c r="IF193" s="33"/>
      <c r="IG193" s="33"/>
      <c r="IH193" s="33"/>
      <c r="II193" s="33"/>
      <c r="IJ193" s="33"/>
      <c r="IK193" s="33"/>
      <c r="IL193" s="33"/>
      <c r="IM193" s="33"/>
      <c r="IN193" s="33"/>
      <c r="IO193" s="33"/>
      <c r="IP193" s="33"/>
      <c r="IQ193" s="33"/>
      <c r="IR193" s="33"/>
      <c r="IS193" s="33"/>
      <c r="IT193" s="33"/>
      <c r="IU193" s="33"/>
      <c r="IV193" s="33"/>
      <c r="IW193" s="33"/>
      <c r="IX193" s="33"/>
      <c r="IY193" s="33"/>
      <c r="IZ193" s="33"/>
      <c r="JA193" s="33"/>
      <c r="JB193" s="33"/>
      <c r="JC193" s="33"/>
      <c r="JD193" s="33"/>
      <c r="JE193" s="33"/>
      <c r="JF193" s="33"/>
      <c r="JG193" s="33"/>
      <c r="JH193" s="33"/>
      <c r="JI193" s="33"/>
      <c r="JJ193" s="33"/>
      <c r="JK193" s="33"/>
      <c r="JL193" s="33"/>
      <c r="JM193" s="33"/>
      <c r="JN193" s="33"/>
      <c r="JO193" s="33"/>
      <c r="JP193" s="33"/>
      <c r="JQ193" s="33"/>
      <c r="JR193" s="33"/>
      <c r="JS193" s="33"/>
      <c r="JT193" s="33"/>
      <c r="JU193" s="33"/>
      <c r="JV193" s="33"/>
      <c r="JW193" s="33"/>
      <c r="JX193" s="33"/>
      <c r="JY193" s="33"/>
      <c r="JZ193" s="33"/>
      <c r="KA193" s="33"/>
      <c r="KB193" s="33"/>
      <c r="KC193" s="33"/>
      <c r="KD193" s="33"/>
      <c r="KE193" s="33"/>
      <c r="KF193" s="33"/>
      <c r="KG193" s="33"/>
    </row>
    <row r="194" spans="1:293">
      <c r="A194" s="1" t="s">
        <v>25</v>
      </c>
      <c r="B194" s="4">
        <v>1951</v>
      </c>
      <c r="C194" s="7">
        <v>6.8969258570000003</v>
      </c>
      <c r="D194" s="7">
        <v>6.1496179270000004</v>
      </c>
      <c r="E194" s="4">
        <f>0.03*D194</f>
        <v>0.18448853781000002</v>
      </c>
      <c r="F194" s="4"/>
      <c r="G194" s="4"/>
      <c r="H194" s="7">
        <v>0.17264154600000001</v>
      </c>
      <c r="I194" s="7">
        <v>0.24063146899999999</v>
      </c>
      <c r="J194" s="4">
        <f>(H194+I194)/2</f>
        <v>0.20663650750000001</v>
      </c>
      <c r="K194" s="3">
        <v>86</v>
      </c>
      <c r="L194" s="3">
        <v>10</v>
      </c>
      <c r="M194" s="3">
        <f t="shared" si="50"/>
        <v>5.4054054054054053</v>
      </c>
      <c r="N194" s="15">
        <v>1</v>
      </c>
      <c r="O194">
        <f t="shared" si="49"/>
        <v>0.90317746530314091</v>
      </c>
      <c r="P194">
        <f t="shared" si="62"/>
        <v>1.1072021152170373</v>
      </c>
      <c r="Q194">
        <f t="shared" si="51"/>
        <v>6.8969258570000003</v>
      </c>
      <c r="R194">
        <f t="shared" si="52"/>
        <v>46.960271398225665</v>
      </c>
      <c r="S194">
        <f t="shared" si="53"/>
        <v>48.369079540172429</v>
      </c>
      <c r="T194">
        <f t="shared" si="54"/>
        <v>45.551463256278893</v>
      </c>
      <c r="U194">
        <f t="shared" si="55"/>
        <v>1.4088081419467642</v>
      </c>
      <c r="V194">
        <f t="shared" si="56"/>
        <v>1.4088081419467713</v>
      </c>
      <c r="W194">
        <f t="shared" si="57"/>
        <v>1.4088081419467677</v>
      </c>
    </row>
    <row r="195" spans="1:293">
      <c r="A195" s="66" t="s">
        <v>65</v>
      </c>
      <c r="B195" s="4">
        <v>1951</v>
      </c>
      <c r="C195" s="7">
        <v>9.4765358469999992</v>
      </c>
      <c r="D195" s="7">
        <v>5.6549723490000003</v>
      </c>
      <c r="E195" s="4">
        <f t="shared" ref="E195:E212" si="63">0.03*D195</f>
        <v>0.16964917047</v>
      </c>
      <c r="F195" s="4"/>
      <c r="G195" s="4"/>
      <c r="H195" s="7">
        <v>0.234007083</v>
      </c>
      <c r="I195" s="7">
        <v>0.22948606999999999</v>
      </c>
      <c r="J195" s="4">
        <f t="shared" ref="J195:J212" si="64">(H195+I195)/2</f>
        <v>0.2317465765</v>
      </c>
      <c r="K195" s="3">
        <v>86</v>
      </c>
      <c r="L195" s="3">
        <v>10</v>
      </c>
      <c r="M195" s="3">
        <f t="shared" si="50"/>
        <v>5.4054054054054053</v>
      </c>
      <c r="N195" s="15">
        <v>1</v>
      </c>
      <c r="O195">
        <f t="shared" si="49"/>
        <v>0.90317746530314091</v>
      </c>
      <c r="P195">
        <f t="shared" si="62"/>
        <v>1.1072021152170373</v>
      </c>
      <c r="Q195">
        <f t="shared" si="51"/>
        <v>9.4765358469999992</v>
      </c>
      <c r="R195">
        <f t="shared" si="52"/>
        <v>59.334461097416309</v>
      </c>
      <c r="S195">
        <f t="shared" si="53"/>
        <v>61.1144949303388</v>
      </c>
      <c r="T195">
        <f t="shared" si="54"/>
        <v>57.554427264493825</v>
      </c>
      <c r="U195">
        <f t="shared" si="55"/>
        <v>1.7800338329224914</v>
      </c>
      <c r="V195">
        <f t="shared" si="56"/>
        <v>1.7800338329224843</v>
      </c>
      <c r="W195">
        <f t="shared" si="57"/>
        <v>1.7800338329224878</v>
      </c>
    </row>
    <row r="196" spans="1:293">
      <c r="A196" s="1"/>
      <c r="B196" s="4">
        <v>1951</v>
      </c>
      <c r="C196" s="7">
        <v>12.07362603</v>
      </c>
      <c r="D196" s="7">
        <v>5.5268803350000004</v>
      </c>
      <c r="E196" s="4">
        <f t="shared" si="63"/>
        <v>0.16580641005000002</v>
      </c>
      <c r="F196" s="4"/>
      <c r="G196" s="4"/>
      <c r="H196" s="7">
        <v>0.273496925</v>
      </c>
      <c r="I196" s="7">
        <v>0.32144856900000002</v>
      </c>
      <c r="J196" s="4">
        <f t="shared" si="64"/>
        <v>0.29747274700000004</v>
      </c>
      <c r="K196" s="3">
        <v>86</v>
      </c>
      <c r="L196" s="3">
        <v>10</v>
      </c>
      <c r="M196" s="3">
        <f t="shared" si="50"/>
        <v>5.4054054054054053</v>
      </c>
      <c r="N196" s="15">
        <v>1</v>
      </c>
      <c r="O196">
        <f t="shared" si="49"/>
        <v>0.90317746530314091</v>
      </c>
      <c r="P196">
        <f t="shared" si="62"/>
        <v>1.1072021152170373</v>
      </c>
      <c r="Q196">
        <f t="shared" si="51"/>
        <v>12.07362603</v>
      </c>
      <c r="R196">
        <f t="shared" si="52"/>
        <v>73.883028353629427</v>
      </c>
      <c r="S196">
        <f t="shared" si="53"/>
        <v>76.09951920423832</v>
      </c>
      <c r="T196">
        <f t="shared" si="54"/>
        <v>71.66653750302055</v>
      </c>
      <c r="U196">
        <f t="shared" si="55"/>
        <v>2.2164908506088921</v>
      </c>
      <c r="V196">
        <f t="shared" si="56"/>
        <v>2.2164908506088778</v>
      </c>
      <c r="W196">
        <f t="shared" si="57"/>
        <v>2.216490850608885</v>
      </c>
    </row>
    <row r="197" spans="1:293">
      <c r="A197" s="1"/>
      <c r="B197" s="4">
        <v>1951</v>
      </c>
      <c r="C197" s="7">
        <v>14.48470129</v>
      </c>
      <c r="D197" s="7">
        <v>5.1678055049999996</v>
      </c>
      <c r="E197" s="4">
        <f t="shared" si="63"/>
        <v>0.15503416514999999</v>
      </c>
      <c r="F197" s="4"/>
      <c r="G197" s="4"/>
      <c r="H197" s="7">
        <v>0.29859004500000003</v>
      </c>
      <c r="I197" s="7">
        <v>0.30426218999999999</v>
      </c>
      <c r="J197" s="4">
        <f t="shared" si="64"/>
        <v>0.30142611750000003</v>
      </c>
      <c r="K197" s="3">
        <v>86</v>
      </c>
      <c r="L197" s="3">
        <v>10</v>
      </c>
      <c r="M197" s="3">
        <f t="shared" si="50"/>
        <v>5.4054054054054053</v>
      </c>
      <c r="N197" s="15">
        <v>1</v>
      </c>
      <c r="O197">
        <f t="shared" si="49"/>
        <v>0.90317746530314091</v>
      </c>
      <c r="P197">
        <f t="shared" si="62"/>
        <v>1.1072021152170373</v>
      </c>
      <c r="Q197">
        <f t="shared" si="51"/>
        <v>14.48470129</v>
      </c>
      <c r="R197">
        <f t="shared" si="52"/>
        <v>82.878638961190958</v>
      </c>
      <c r="S197">
        <f t="shared" si="53"/>
        <v>85.364998130026692</v>
      </c>
      <c r="T197">
        <f t="shared" si="54"/>
        <v>80.392279792355225</v>
      </c>
      <c r="U197">
        <f t="shared" si="55"/>
        <v>2.4863591688357332</v>
      </c>
      <c r="V197">
        <f t="shared" si="56"/>
        <v>2.4863591688357332</v>
      </c>
      <c r="W197">
        <f t="shared" si="57"/>
        <v>2.4863591688357332</v>
      </c>
    </row>
    <row r="198" spans="1:293">
      <c r="A198" s="1"/>
      <c r="B198" s="4">
        <v>1951</v>
      </c>
      <c r="C198" s="7">
        <v>16.804226799999999</v>
      </c>
      <c r="D198" s="7">
        <v>5.0681431080000001</v>
      </c>
      <c r="E198" s="4">
        <f t="shared" si="63"/>
        <v>0.15204429323999999</v>
      </c>
      <c r="F198" s="4"/>
      <c r="G198" s="4"/>
      <c r="H198" s="7">
        <v>0.50352016600000005</v>
      </c>
      <c r="I198" s="7">
        <v>0.34483102300000001</v>
      </c>
      <c r="J198" s="4">
        <f t="shared" si="64"/>
        <v>0.42417559450000003</v>
      </c>
      <c r="K198" s="3">
        <v>86</v>
      </c>
      <c r="L198" s="3">
        <v>10</v>
      </c>
      <c r="M198" s="3">
        <f t="shared" si="50"/>
        <v>5.4054054054054053</v>
      </c>
      <c r="N198" s="15">
        <v>1</v>
      </c>
      <c r="O198">
        <f t="shared" si="49"/>
        <v>0.90317746530314091</v>
      </c>
      <c r="P198">
        <f t="shared" si="62"/>
        <v>1.1072021152170373</v>
      </c>
      <c r="Q198">
        <f t="shared" si="51"/>
        <v>16.804226799999999</v>
      </c>
      <c r="R198">
        <f t="shared" si="52"/>
        <v>94.296225839850678</v>
      </c>
      <c r="S198">
        <f t="shared" si="53"/>
        <v>97.125112615046206</v>
      </c>
      <c r="T198">
        <f t="shared" si="54"/>
        <v>91.467339064655164</v>
      </c>
      <c r="U198">
        <f t="shared" si="55"/>
        <v>2.828886775195528</v>
      </c>
      <c r="V198">
        <f t="shared" si="56"/>
        <v>2.8288867751955138</v>
      </c>
      <c r="W198">
        <f t="shared" si="57"/>
        <v>2.8288867751955209</v>
      </c>
    </row>
    <row r="199" spans="1:293">
      <c r="A199" s="1"/>
      <c r="B199" s="4">
        <v>1951</v>
      </c>
      <c r="C199" s="7">
        <v>19.289307390000001</v>
      </c>
      <c r="D199" s="7">
        <v>4.9266536329999999</v>
      </c>
      <c r="E199" s="4">
        <f t="shared" si="63"/>
        <v>0.14779960899</v>
      </c>
      <c r="F199" s="4"/>
      <c r="G199" s="4"/>
      <c r="H199" s="7">
        <v>0.16785602499999999</v>
      </c>
      <c r="I199" s="7">
        <v>0.29391602999999999</v>
      </c>
      <c r="J199" s="4">
        <f t="shared" si="64"/>
        <v>0.23088602749999998</v>
      </c>
      <c r="K199" s="3">
        <v>86</v>
      </c>
      <c r="L199" s="3">
        <v>10</v>
      </c>
      <c r="M199" s="3">
        <f t="shared" si="50"/>
        <v>5.4054054054054053</v>
      </c>
      <c r="N199" s="15">
        <v>1</v>
      </c>
      <c r="O199">
        <f t="shared" si="49"/>
        <v>0.90317746530314091</v>
      </c>
      <c r="P199">
        <f t="shared" si="62"/>
        <v>1.1072021152170373</v>
      </c>
      <c r="Q199">
        <f t="shared" si="51"/>
        <v>19.289307390000001</v>
      </c>
      <c r="R199">
        <f t="shared" si="52"/>
        <v>105.21933947842793</v>
      </c>
      <c r="S199">
        <f t="shared" si="53"/>
        <v>108.37591966278076</v>
      </c>
      <c r="T199">
        <f t="shared" si="54"/>
        <v>102.06275929407509</v>
      </c>
      <c r="U199">
        <f t="shared" si="55"/>
        <v>3.1565801843528334</v>
      </c>
      <c r="V199">
        <f t="shared" si="56"/>
        <v>3.1565801843528334</v>
      </c>
      <c r="W199">
        <f t="shared" si="57"/>
        <v>3.1565801843528334</v>
      </c>
    </row>
    <row r="200" spans="1:293">
      <c r="A200" s="1"/>
      <c r="B200" s="4">
        <v>1951</v>
      </c>
      <c r="C200" s="7">
        <v>21.551985330000001</v>
      </c>
      <c r="D200" s="7">
        <v>4.765528454</v>
      </c>
      <c r="E200" s="4">
        <f t="shared" si="63"/>
        <v>0.14296585362</v>
      </c>
      <c r="F200" s="4"/>
      <c r="G200" s="4"/>
      <c r="H200" s="7">
        <v>0.37942098400000002</v>
      </c>
      <c r="I200" s="7">
        <v>0.324932677</v>
      </c>
      <c r="J200" s="4">
        <f t="shared" si="64"/>
        <v>0.35217683050000004</v>
      </c>
      <c r="K200" s="3">
        <v>86</v>
      </c>
      <c r="L200" s="3">
        <v>10</v>
      </c>
      <c r="M200" s="3">
        <f t="shared" si="50"/>
        <v>5.4054054054054053</v>
      </c>
      <c r="N200" s="15">
        <v>1</v>
      </c>
      <c r="O200">
        <f t="shared" si="49"/>
        <v>0.90317746530314091</v>
      </c>
      <c r="P200">
        <f t="shared" si="62"/>
        <v>1.1072021152170373</v>
      </c>
      <c r="Q200">
        <f t="shared" si="51"/>
        <v>21.551985330000001</v>
      </c>
      <c r="R200">
        <f t="shared" si="52"/>
        <v>113.71696402526308</v>
      </c>
      <c r="S200">
        <f t="shared" si="53"/>
        <v>117.12847294602096</v>
      </c>
      <c r="T200">
        <f t="shared" si="54"/>
        <v>110.3054551045052</v>
      </c>
      <c r="U200">
        <f t="shared" si="55"/>
        <v>3.4115089207578819</v>
      </c>
      <c r="V200">
        <f t="shared" si="56"/>
        <v>3.4115089207578819</v>
      </c>
      <c r="W200">
        <f t="shared" si="57"/>
        <v>3.4115089207578819</v>
      </c>
    </row>
    <row r="201" spans="1:293">
      <c r="A201" s="1"/>
      <c r="B201" s="4">
        <v>1951</v>
      </c>
      <c r="C201" s="7">
        <v>23.81931702</v>
      </c>
      <c r="D201" s="7">
        <v>4.6501991699999996</v>
      </c>
      <c r="E201" s="4">
        <f t="shared" si="63"/>
        <v>0.13950597509999998</v>
      </c>
      <c r="F201" s="4"/>
      <c r="G201" s="4"/>
      <c r="H201" s="7">
        <v>0.33487066599999998</v>
      </c>
      <c r="I201" s="7">
        <v>0.32434484699999999</v>
      </c>
      <c r="J201" s="4">
        <f t="shared" si="64"/>
        <v>0.32960775649999996</v>
      </c>
      <c r="K201" s="3">
        <v>86</v>
      </c>
      <c r="L201" s="3">
        <v>10</v>
      </c>
      <c r="M201" s="3">
        <f t="shared" si="50"/>
        <v>5.4054054054054053</v>
      </c>
      <c r="N201" s="15">
        <v>1</v>
      </c>
      <c r="O201">
        <f t="shared" ref="O201:O212" si="65">-0.03754*M201^2+0.5266*M201-0.84645</f>
        <v>0.90317746530314091</v>
      </c>
      <c r="P201">
        <f t="shared" si="62"/>
        <v>1.1072021152170373</v>
      </c>
      <c r="Q201">
        <f t="shared" si="51"/>
        <v>23.81931702</v>
      </c>
      <c r="R201">
        <f t="shared" si="52"/>
        <v>122.63876424241168</v>
      </c>
      <c r="S201">
        <f t="shared" si="53"/>
        <v>126.31792716968401</v>
      </c>
      <c r="T201">
        <f t="shared" si="54"/>
        <v>118.95960131513934</v>
      </c>
      <c r="U201">
        <f t="shared" si="55"/>
        <v>3.6791629272723299</v>
      </c>
      <c r="V201">
        <f t="shared" si="56"/>
        <v>3.6791629272723441</v>
      </c>
      <c r="W201">
        <f t="shared" si="57"/>
        <v>3.679162927272337</v>
      </c>
    </row>
    <row r="202" spans="1:293">
      <c r="A202" s="1"/>
      <c r="B202" s="4">
        <v>1951</v>
      </c>
      <c r="C202" s="7">
        <v>26.15537406</v>
      </c>
      <c r="D202" s="7">
        <v>4.5309032150000004</v>
      </c>
      <c r="E202" s="4">
        <f t="shared" si="63"/>
        <v>0.13592709645000001</v>
      </c>
      <c r="F202" s="4"/>
      <c r="G202" s="4"/>
      <c r="H202" s="7">
        <v>0.28772400300000001</v>
      </c>
      <c r="I202" s="7">
        <v>0.32111444500000003</v>
      </c>
      <c r="J202" s="4">
        <f t="shared" si="64"/>
        <v>0.30441922399999999</v>
      </c>
      <c r="K202" s="3">
        <v>86</v>
      </c>
      <c r="L202" s="3">
        <v>10</v>
      </c>
      <c r="M202" s="3">
        <f t="shared" ref="M202:M212" si="66">L202/1.85</f>
        <v>5.4054054054054053</v>
      </c>
      <c r="N202" s="15">
        <v>1</v>
      </c>
      <c r="O202">
        <f t="shared" si="65"/>
        <v>0.90317746530314091</v>
      </c>
      <c r="P202">
        <f t="shared" si="62"/>
        <v>1.1072021152170373</v>
      </c>
      <c r="Q202">
        <f t="shared" si="51"/>
        <v>26.15537406</v>
      </c>
      <c r="R202">
        <f t="shared" si="52"/>
        <v>131.21171970140549</v>
      </c>
      <c r="S202">
        <f t="shared" si="53"/>
        <v>135.14807129244764</v>
      </c>
      <c r="T202">
        <f t="shared" si="54"/>
        <v>127.27536811036332</v>
      </c>
      <c r="U202">
        <f t="shared" si="55"/>
        <v>3.936351591042154</v>
      </c>
      <c r="V202">
        <f t="shared" si="56"/>
        <v>3.9363515910421683</v>
      </c>
      <c r="W202">
        <f t="shared" si="57"/>
        <v>3.9363515910421611</v>
      </c>
    </row>
    <row r="203" spans="1:293">
      <c r="A203" s="1"/>
      <c r="B203" s="4">
        <v>1951</v>
      </c>
      <c r="C203" s="7">
        <v>28.25737067</v>
      </c>
      <c r="D203" s="7">
        <v>4.4341687810000003</v>
      </c>
      <c r="E203" s="4">
        <f t="shared" si="63"/>
        <v>0.13302506343000001</v>
      </c>
      <c r="F203" s="4"/>
      <c r="G203" s="4"/>
      <c r="H203" s="7">
        <v>0.27780197400000001</v>
      </c>
      <c r="I203" s="7">
        <v>0.33001609199999998</v>
      </c>
      <c r="J203" s="4">
        <f t="shared" si="64"/>
        <v>0.303909033</v>
      </c>
      <c r="K203" s="3">
        <v>86</v>
      </c>
      <c r="L203" s="3">
        <v>10</v>
      </c>
      <c r="M203" s="3">
        <f t="shared" si="66"/>
        <v>5.4054054054054053</v>
      </c>
      <c r="N203" s="15">
        <v>1</v>
      </c>
      <c r="O203">
        <f t="shared" si="65"/>
        <v>0.90317746530314091</v>
      </c>
      <c r="P203">
        <f t="shared" si="62"/>
        <v>1.1072021152170373</v>
      </c>
      <c r="Q203">
        <f t="shared" si="51"/>
        <v>28.25737067</v>
      </c>
      <c r="R203">
        <f t="shared" si="52"/>
        <v>138.73015622240339</v>
      </c>
      <c r="S203">
        <f t="shared" si="53"/>
        <v>142.8920609090755</v>
      </c>
      <c r="T203">
        <f t="shared" si="54"/>
        <v>134.56825153573129</v>
      </c>
      <c r="U203">
        <f t="shared" si="55"/>
        <v>4.1619046866721021</v>
      </c>
      <c r="V203">
        <f t="shared" si="56"/>
        <v>4.1619046866721021</v>
      </c>
      <c r="W203">
        <f t="shared" si="57"/>
        <v>4.1619046866721021</v>
      </c>
    </row>
    <row r="204" spans="1:293">
      <c r="A204" s="1"/>
      <c r="B204" s="4">
        <v>1951</v>
      </c>
      <c r="C204" s="7">
        <v>31.399926700000002</v>
      </c>
      <c r="D204" s="7">
        <v>4.3050826369999999</v>
      </c>
      <c r="E204" s="4">
        <f t="shared" si="63"/>
        <v>0.12915247911</v>
      </c>
      <c r="F204" s="4"/>
      <c r="G204" s="4"/>
      <c r="H204" s="7">
        <v>0.279466402</v>
      </c>
      <c r="I204" s="7">
        <v>0.32774557700000001</v>
      </c>
      <c r="J204" s="4">
        <f t="shared" si="64"/>
        <v>0.30360598950000001</v>
      </c>
      <c r="K204" s="3">
        <v>86</v>
      </c>
      <c r="L204" s="3">
        <v>10</v>
      </c>
      <c r="M204" s="3">
        <f t="shared" si="66"/>
        <v>5.4054054054054053</v>
      </c>
      <c r="N204" s="15">
        <v>1</v>
      </c>
      <c r="O204">
        <f t="shared" si="65"/>
        <v>0.90317746530314091</v>
      </c>
      <c r="P204">
        <f t="shared" si="62"/>
        <v>1.1072021152170373</v>
      </c>
      <c r="Q204">
        <f t="shared" si="51"/>
        <v>31.399926700000002</v>
      </c>
      <c r="R204">
        <f t="shared" si="52"/>
        <v>149.67078390720405</v>
      </c>
      <c r="S204">
        <f t="shared" si="53"/>
        <v>154.1609074244202</v>
      </c>
      <c r="T204">
        <f t="shared" si="54"/>
        <v>145.18066038998793</v>
      </c>
      <c r="U204">
        <f t="shared" si="55"/>
        <v>4.4901235172161478</v>
      </c>
      <c r="V204">
        <f t="shared" si="56"/>
        <v>4.4901235172161194</v>
      </c>
      <c r="W204">
        <f t="shared" si="57"/>
        <v>4.4901235172161336</v>
      </c>
    </row>
    <row r="205" spans="1:293">
      <c r="A205" s="1"/>
      <c r="B205" s="4">
        <v>1951</v>
      </c>
      <c r="C205" s="7">
        <v>35.578045379999999</v>
      </c>
      <c r="D205" s="7">
        <v>4.1266953830000004</v>
      </c>
      <c r="E205" s="4">
        <f t="shared" si="63"/>
        <v>0.12380086149000001</v>
      </c>
      <c r="F205" s="4"/>
      <c r="G205" s="4"/>
      <c r="H205" s="7">
        <v>0.46654917400000001</v>
      </c>
      <c r="I205" s="7">
        <v>0.36195212900000001</v>
      </c>
      <c r="J205" s="4">
        <f t="shared" si="64"/>
        <v>0.41425065150000001</v>
      </c>
      <c r="K205" s="3">
        <v>86</v>
      </c>
      <c r="L205" s="3">
        <v>10</v>
      </c>
      <c r="M205" s="3">
        <f t="shared" si="66"/>
        <v>5.4054054054054053</v>
      </c>
      <c r="N205" s="15">
        <v>1</v>
      </c>
      <c r="O205">
        <f t="shared" si="65"/>
        <v>0.90317746530314091</v>
      </c>
      <c r="P205">
        <f t="shared" si="62"/>
        <v>1.1072021152170373</v>
      </c>
      <c r="Q205">
        <f t="shared" si="51"/>
        <v>35.578045379999999</v>
      </c>
      <c r="R205">
        <f t="shared" si="52"/>
        <v>162.55914396240183</v>
      </c>
      <c r="S205">
        <f t="shared" si="53"/>
        <v>167.4359182812739</v>
      </c>
      <c r="T205">
        <f t="shared" si="54"/>
        <v>157.68236964352977</v>
      </c>
      <c r="U205">
        <f t="shared" si="55"/>
        <v>4.8767743188720658</v>
      </c>
      <c r="V205">
        <f t="shared" si="56"/>
        <v>4.8767743188720658</v>
      </c>
      <c r="W205">
        <f t="shared" si="57"/>
        <v>4.8767743188720658</v>
      </c>
    </row>
    <row r="206" spans="1:293">
      <c r="A206" s="1"/>
      <c r="B206" s="4">
        <v>1951</v>
      </c>
      <c r="C206" s="7">
        <v>39.777355129999997</v>
      </c>
      <c r="D206" s="7">
        <v>3.9745305700000002</v>
      </c>
      <c r="E206" s="4">
        <f t="shared" si="63"/>
        <v>0.11923591710000001</v>
      </c>
      <c r="F206" s="4"/>
      <c r="G206" s="4"/>
      <c r="H206" s="7">
        <v>0.37548021599999998</v>
      </c>
      <c r="I206" s="7">
        <v>0.287087967</v>
      </c>
      <c r="J206" s="4">
        <f t="shared" si="64"/>
        <v>0.33128409149999999</v>
      </c>
      <c r="K206" s="3">
        <v>86</v>
      </c>
      <c r="L206" s="3">
        <v>10</v>
      </c>
      <c r="M206" s="3">
        <f t="shared" si="66"/>
        <v>5.4054054054054053</v>
      </c>
      <c r="N206" s="15">
        <v>1</v>
      </c>
      <c r="O206">
        <f t="shared" si="65"/>
        <v>0.90317746530314091</v>
      </c>
      <c r="P206">
        <f t="shared" si="62"/>
        <v>1.1072021152170373</v>
      </c>
      <c r="Q206">
        <f t="shared" si="51"/>
        <v>39.777355129999997</v>
      </c>
      <c r="R206">
        <f t="shared" si="52"/>
        <v>175.04457322223837</v>
      </c>
      <c r="S206">
        <f t="shared" si="53"/>
        <v>180.29591041890549</v>
      </c>
      <c r="T206">
        <f t="shared" si="54"/>
        <v>169.79323602557122</v>
      </c>
      <c r="U206">
        <f t="shared" si="55"/>
        <v>5.251337196667123</v>
      </c>
      <c r="V206">
        <f t="shared" si="56"/>
        <v>5.2513371966671514</v>
      </c>
      <c r="W206">
        <f t="shared" si="57"/>
        <v>5.2513371966671372</v>
      </c>
    </row>
    <row r="207" spans="1:293">
      <c r="A207" s="1"/>
      <c r="B207" s="4">
        <v>1951</v>
      </c>
      <c r="C207" s="7">
        <v>43.873780009999997</v>
      </c>
      <c r="D207" s="7">
        <v>3.7893796019999999</v>
      </c>
      <c r="E207" s="4">
        <f t="shared" si="63"/>
        <v>0.11368138806</v>
      </c>
      <c r="F207" s="4"/>
      <c r="G207" s="4"/>
      <c r="H207" s="7">
        <v>0.47353676300000003</v>
      </c>
      <c r="I207" s="7">
        <v>0.35217029399999999</v>
      </c>
      <c r="J207" s="4">
        <f t="shared" si="64"/>
        <v>0.41285352850000001</v>
      </c>
      <c r="K207" s="3">
        <v>86</v>
      </c>
      <c r="L207" s="3">
        <v>10</v>
      </c>
      <c r="M207" s="3">
        <f t="shared" si="66"/>
        <v>5.4054054054054053</v>
      </c>
      <c r="N207" s="15">
        <v>1</v>
      </c>
      <c r="O207">
        <f t="shared" si="65"/>
        <v>0.90317746530314091</v>
      </c>
      <c r="P207">
        <f t="shared" si="62"/>
        <v>1.1072021152170373</v>
      </c>
      <c r="Q207">
        <f t="shared" si="51"/>
        <v>43.873780009999997</v>
      </c>
      <c r="R207">
        <f t="shared" si="52"/>
        <v>184.07723113057077</v>
      </c>
      <c r="S207">
        <f t="shared" si="53"/>
        <v>189.59954806448789</v>
      </c>
      <c r="T207">
        <f t="shared" si="54"/>
        <v>178.55491419665364</v>
      </c>
      <c r="U207">
        <f t="shared" si="55"/>
        <v>5.522316933917125</v>
      </c>
      <c r="V207">
        <f t="shared" si="56"/>
        <v>5.522316933917125</v>
      </c>
      <c r="W207">
        <f t="shared" si="57"/>
        <v>5.522316933917125</v>
      </c>
    </row>
    <row r="208" spans="1:293">
      <c r="A208" s="1"/>
      <c r="B208" s="4">
        <v>1951</v>
      </c>
      <c r="C208" s="7">
        <v>49.723083209999999</v>
      </c>
      <c r="D208" s="7">
        <v>3.712272247</v>
      </c>
      <c r="E208" s="4">
        <f t="shared" si="63"/>
        <v>0.11136816741</v>
      </c>
      <c r="F208" s="4"/>
      <c r="G208" s="4"/>
      <c r="H208" s="7">
        <v>0.372884508</v>
      </c>
      <c r="I208" s="7">
        <v>0.299861143</v>
      </c>
      <c r="J208" s="4">
        <f t="shared" si="64"/>
        <v>0.33637282550000003</v>
      </c>
      <c r="K208" s="3">
        <v>86</v>
      </c>
      <c r="L208" s="3">
        <v>10</v>
      </c>
      <c r="M208" s="3">
        <f t="shared" si="66"/>
        <v>5.4054054054054053</v>
      </c>
      <c r="N208" s="15">
        <v>1</v>
      </c>
      <c r="O208">
        <f t="shared" si="65"/>
        <v>0.90317746530314091</v>
      </c>
      <c r="P208">
        <f t="shared" si="62"/>
        <v>1.1072021152170373</v>
      </c>
      <c r="Q208">
        <f t="shared" si="51"/>
        <v>49.723083209999999</v>
      </c>
      <c r="R208">
        <f t="shared" si="52"/>
        <v>204.3735909351997</v>
      </c>
      <c r="S208">
        <f t="shared" si="53"/>
        <v>210.50479866325568</v>
      </c>
      <c r="T208">
        <f t="shared" si="54"/>
        <v>198.24238320714375</v>
      </c>
      <c r="U208">
        <f t="shared" si="55"/>
        <v>6.1312077280559834</v>
      </c>
      <c r="V208">
        <f t="shared" si="56"/>
        <v>6.1312077280559549</v>
      </c>
      <c r="W208">
        <f t="shared" si="57"/>
        <v>6.1312077280559691</v>
      </c>
    </row>
    <row r="209" spans="1:293">
      <c r="A209" s="1"/>
      <c r="B209" s="4">
        <v>1951</v>
      </c>
      <c r="C209" s="8">
        <v>56.5</v>
      </c>
      <c r="D209" s="8">
        <v>3.6588902970000001</v>
      </c>
      <c r="E209" s="4">
        <f t="shared" si="63"/>
        <v>0.10976670891</v>
      </c>
      <c r="F209" s="4"/>
      <c r="G209" s="4"/>
      <c r="H209" s="7">
        <v>0</v>
      </c>
      <c r="I209" s="7">
        <v>0</v>
      </c>
      <c r="J209" s="4">
        <f t="shared" si="64"/>
        <v>0</v>
      </c>
      <c r="K209" s="3">
        <v>86</v>
      </c>
      <c r="L209" s="3">
        <v>10</v>
      </c>
      <c r="M209" s="3">
        <f t="shared" si="66"/>
        <v>5.4054054054054053</v>
      </c>
      <c r="N209" s="15">
        <v>1</v>
      </c>
      <c r="O209">
        <f t="shared" si="65"/>
        <v>0.90317746530314091</v>
      </c>
      <c r="P209">
        <v>1.06</v>
      </c>
      <c r="Q209">
        <f t="shared" ref="Q209:Q212" si="67">C209</f>
        <v>56.5</v>
      </c>
      <c r="R209" s="17">
        <v>219.13093989999999</v>
      </c>
      <c r="S209">
        <f t="shared" si="53"/>
        <v>225.70486808394995</v>
      </c>
      <c r="T209">
        <f t="shared" si="54"/>
        <v>212.55701169071011</v>
      </c>
      <c r="U209">
        <f t="shared" si="55"/>
        <v>6.5739281839499597</v>
      </c>
      <c r="V209">
        <f t="shared" si="56"/>
        <v>6.5739282092898748</v>
      </c>
      <c r="W209">
        <f t="shared" si="57"/>
        <v>6.5739281966199172</v>
      </c>
    </row>
    <row r="210" spans="1:293">
      <c r="A210" s="1"/>
      <c r="B210" s="4">
        <v>1951</v>
      </c>
      <c r="C210" s="7">
        <v>57.528399149999998</v>
      </c>
      <c r="D210" s="7">
        <v>3.4141981060000002</v>
      </c>
      <c r="E210" s="4">
        <f t="shared" si="63"/>
        <v>0.10242594318000001</v>
      </c>
      <c r="F210" s="4"/>
      <c r="G210" s="4"/>
      <c r="H210" s="7">
        <v>0.51272702699999995</v>
      </c>
      <c r="I210" s="7">
        <v>0.391205686</v>
      </c>
      <c r="J210" s="4">
        <f t="shared" si="64"/>
        <v>0.45196635649999994</v>
      </c>
      <c r="K210" s="3">
        <v>86</v>
      </c>
      <c r="L210" s="3">
        <v>10</v>
      </c>
      <c r="M210" s="3">
        <f t="shared" si="66"/>
        <v>5.4054054054054053</v>
      </c>
      <c r="N210" s="15">
        <v>1</v>
      </c>
      <c r="O210">
        <f t="shared" si="65"/>
        <v>0.90317746530314091</v>
      </c>
      <c r="P210">
        <f t="shared" si="62"/>
        <v>1.1072021152170373</v>
      </c>
      <c r="Q210">
        <f t="shared" si="67"/>
        <v>57.528399149999998</v>
      </c>
      <c r="R210">
        <f t="shared" si="52"/>
        <v>217.46927814814129</v>
      </c>
      <c r="S210">
        <f t="shared" si="53"/>
        <v>223.99335649258555</v>
      </c>
      <c r="T210">
        <f t="shared" si="54"/>
        <v>210.94519980369708</v>
      </c>
      <c r="U210">
        <f t="shared" si="55"/>
        <v>6.5240783444442627</v>
      </c>
      <c r="V210">
        <f t="shared" si="56"/>
        <v>6.5240783444442059</v>
      </c>
      <c r="W210">
        <f t="shared" si="57"/>
        <v>6.5240783444442343</v>
      </c>
    </row>
    <row r="211" spans="1:293">
      <c r="A211" s="1"/>
      <c r="B211" s="4">
        <v>1951</v>
      </c>
      <c r="C211" s="7">
        <v>65.038876009999996</v>
      </c>
      <c r="D211" s="7">
        <v>3.259809588</v>
      </c>
      <c r="E211" s="4">
        <f t="shared" si="63"/>
        <v>9.7794287639999991E-2</v>
      </c>
      <c r="F211" s="4"/>
      <c r="G211" s="4"/>
      <c r="H211" s="7">
        <v>0.50212869199999999</v>
      </c>
      <c r="I211" s="7">
        <v>0.37382011599999998</v>
      </c>
      <c r="J211" s="4">
        <f t="shared" si="64"/>
        <v>0.43797440399999998</v>
      </c>
      <c r="K211" s="3">
        <v>86</v>
      </c>
      <c r="L211" s="3">
        <v>10</v>
      </c>
      <c r="M211" s="3">
        <f t="shared" si="66"/>
        <v>5.4054054054054053</v>
      </c>
      <c r="N211" s="15">
        <v>1</v>
      </c>
      <c r="O211">
        <f t="shared" si="65"/>
        <v>0.90317746530314091</v>
      </c>
      <c r="P211">
        <f t="shared" si="62"/>
        <v>1.1072021152170373</v>
      </c>
      <c r="Q211">
        <f t="shared" si="67"/>
        <v>65.038876009999996</v>
      </c>
      <c r="R211">
        <f t="shared" si="52"/>
        <v>234.74273855911699</v>
      </c>
      <c r="S211">
        <f t="shared" si="53"/>
        <v>241.78502071589048</v>
      </c>
      <c r="T211">
        <f t="shared" si="54"/>
        <v>227.70045640234343</v>
      </c>
      <c r="U211">
        <f t="shared" si="55"/>
        <v>7.0422821567734957</v>
      </c>
      <c r="V211">
        <f t="shared" si="56"/>
        <v>7.0422821567735525</v>
      </c>
      <c r="W211">
        <f t="shared" si="57"/>
        <v>7.0422821567735241</v>
      </c>
    </row>
    <row r="212" spans="1:293">
      <c r="A212" s="1"/>
      <c r="B212" s="4">
        <v>1951</v>
      </c>
      <c r="C212" s="7">
        <v>75.760874119999997</v>
      </c>
      <c r="D212" s="7">
        <v>3.042958885</v>
      </c>
      <c r="E212" s="4">
        <f t="shared" si="63"/>
        <v>9.1288766549999997E-2</v>
      </c>
      <c r="F212" s="4"/>
      <c r="G212" s="4"/>
      <c r="H212" s="7">
        <v>0.44429166599999997</v>
      </c>
      <c r="I212" s="7">
        <v>0.32653861699999998</v>
      </c>
      <c r="J212" s="4">
        <f t="shared" si="64"/>
        <v>0.3854151415</v>
      </c>
      <c r="K212" s="3">
        <v>86</v>
      </c>
      <c r="L212" s="3">
        <v>10</v>
      </c>
      <c r="M212" s="3">
        <f t="shared" si="66"/>
        <v>5.4054054054054053</v>
      </c>
      <c r="N212" s="15">
        <v>1</v>
      </c>
      <c r="O212">
        <f t="shared" si="65"/>
        <v>0.90317746530314091</v>
      </c>
      <c r="P212">
        <f t="shared" si="62"/>
        <v>1.1072021152170373</v>
      </c>
      <c r="Q212">
        <f t="shared" si="67"/>
        <v>75.760874119999997</v>
      </c>
      <c r="R212">
        <f t="shared" ref="R212:R275" si="68">C212*D212*P212</f>
        <v>255.25130319924821</v>
      </c>
      <c r="S212">
        <f t="shared" ref="S212:S275" si="69">C212*(D212+E212)*P212</f>
        <v>262.90884229522567</v>
      </c>
      <c r="T212">
        <f t="shared" ref="T212:T275" si="70">C212*(D212-E212)*P212</f>
        <v>247.59376410327081</v>
      </c>
      <c r="U212">
        <f t="shared" ref="U212:U275" si="71">(S212-R212)</f>
        <v>7.6575390959774552</v>
      </c>
      <c r="V212">
        <f t="shared" ref="V212:V275" si="72">(R212-T212)</f>
        <v>7.6575390959773983</v>
      </c>
      <c r="W212">
        <f t="shared" ref="W212:W275" si="73">(U212+V212)/2</f>
        <v>7.6575390959774268</v>
      </c>
    </row>
    <row r="213" spans="1:293" s="20" customFormat="1">
      <c r="A213" s="27" t="s">
        <v>5</v>
      </c>
      <c r="B213" s="19">
        <v>2000</v>
      </c>
      <c r="C213" s="19">
        <v>25</v>
      </c>
      <c r="D213" s="19">
        <v>5.4745999999999997</v>
      </c>
      <c r="E213" s="19">
        <v>0.31719000000000003</v>
      </c>
      <c r="F213" s="19"/>
      <c r="G213" s="19"/>
      <c r="H213" s="19"/>
      <c r="I213" s="19"/>
      <c r="J213" s="19"/>
      <c r="K213" s="19">
        <v>100</v>
      </c>
      <c r="L213" s="22" t="s">
        <v>29</v>
      </c>
      <c r="M213" s="22" t="s">
        <v>33</v>
      </c>
      <c r="N213" s="24">
        <v>1</v>
      </c>
      <c r="O213" s="20">
        <v>1</v>
      </c>
      <c r="P213" s="20">
        <f t="shared" si="62"/>
        <v>1</v>
      </c>
      <c r="Q213" s="21">
        <v>25.00900635</v>
      </c>
      <c r="R213" s="20">
        <f t="shared" si="68"/>
        <v>136.86499999999998</v>
      </c>
      <c r="S213" s="20">
        <f t="shared" si="69"/>
        <v>144.79474999999999</v>
      </c>
      <c r="T213" s="20">
        <f t="shared" si="70"/>
        <v>128.93525</v>
      </c>
      <c r="U213">
        <f t="shared" si="71"/>
        <v>7.9297500000000127</v>
      </c>
      <c r="V213">
        <f t="shared" si="72"/>
        <v>7.9297499999999843</v>
      </c>
      <c r="W213">
        <f t="shared" si="73"/>
        <v>7.9297499999999985</v>
      </c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  <c r="GE213" s="33"/>
      <c r="GF213" s="33"/>
      <c r="GG213" s="33"/>
      <c r="GH213" s="33"/>
      <c r="GI213" s="33"/>
      <c r="GJ213" s="33"/>
      <c r="GK213" s="33"/>
      <c r="GL213" s="33"/>
      <c r="GM213" s="33"/>
      <c r="GN213" s="33"/>
      <c r="GO213" s="33"/>
      <c r="GP213" s="33"/>
      <c r="GQ213" s="33"/>
      <c r="GR213" s="33"/>
      <c r="GS213" s="33"/>
      <c r="GT213" s="33"/>
      <c r="GU213" s="33"/>
      <c r="GV213" s="33"/>
      <c r="GW213" s="33"/>
      <c r="GX213" s="33"/>
      <c r="GY213" s="33"/>
      <c r="GZ213" s="33"/>
      <c r="HA213" s="33"/>
      <c r="HB213" s="33"/>
      <c r="HC213" s="33"/>
      <c r="HD213" s="33"/>
      <c r="HE213" s="33"/>
      <c r="HF213" s="33"/>
      <c r="HG213" s="33"/>
      <c r="HH213" s="33"/>
      <c r="HI213" s="33"/>
      <c r="HJ213" s="33"/>
      <c r="HK213" s="33"/>
      <c r="HL213" s="33"/>
      <c r="HM213" s="33"/>
      <c r="HN213" s="33"/>
      <c r="HO213" s="33"/>
      <c r="HP213" s="33"/>
      <c r="HQ213" s="33"/>
      <c r="HR213" s="33"/>
      <c r="HS213" s="33"/>
      <c r="HT213" s="33"/>
      <c r="HU213" s="33"/>
      <c r="HV213" s="33"/>
      <c r="HW213" s="33"/>
      <c r="HX213" s="33"/>
      <c r="HY213" s="33"/>
      <c r="HZ213" s="33"/>
      <c r="IA213" s="33"/>
      <c r="IB213" s="33"/>
      <c r="IC213" s="33"/>
      <c r="ID213" s="33"/>
      <c r="IE213" s="33"/>
      <c r="IF213" s="33"/>
      <c r="IG213" s="33"/>
      <c r="IH213" s="33"/>
      <c r="II213" s="33"/>
      <c r="IJ213" s="33"/>
      <c r="IK213" s="33"/>
      <c r="IL213" s="33"/>
      <c r="IM213" s="33"/>
      <c r="IN213" s="33"/>
      <c r="IO213" s="33"/>
      <c r="IP213" s="33"/>
      <c r="IQ213" s="33"/>
      <c r="IR213" s="33"/>
      <c r="IS213" s="33"/>
      <c r="IT213" s="33"/>
      <c r="IU213" s="33"/>
      <c r="IV213" s="33"/>
      <c r="IW213" s="33"/>
      <c r="IX213" s="33"/>
      <c r="IY213" s="33"/>
      <c r="IZ213" s="33"/>
      <c r="JA213" s="33"/>
      <c r="JB213" s="33"/>
      <c r="JC213" s="33"/>
      <c r="JD213" s="33"/>
      <c r="JE213" s="33"/>
      <c r="JF213" s="33"/>
      <c r="JG213" s="33"/>
      <c r="JH213" s="33"/>
      <c r="JI213" s="33"/>
      <c r="JJ213" s="33"/>
      <c r="JK213" s="33"/>
      <c r="JL213" s="33"/>
      <c r="JM213" s="33"/>
      <c r="JN213" s="33"/>
      <c r="JO213" s="33"/>
      <c r="JP213" s="33"/>
      <c r="JQ213" s="33"/>
      <c r="JR213" s="33"/>
      <c r="JS213" s="33"/>
      <c r="JT213" s="33"/>
      <c r="JU213" s="33"/>
      <c r="JV213" s="33"/>
      <c r="JW213" s="33"/>
      <c r="JX213" s="33"/>
      <c r="JY213" s="33"/>
      <c r="JZ213" s="33"/>
      <c r="KA213" s="33"/>
      <c r="KB213" s="33"/>
      <c r="KC213" s="33"/>
      <c r="KD213" s="33"/>
      <c r="KE213" s="33"/>
      <c r="KF213" s="33"/>
      <c r="KG213" s="33"/>
    </row>
    <row r="214" spans="1:293" s="20" customFormat="1">
      <c r="A214" s="65" t="s">
        <v>64</v>
      </c>
      <c r="B214" s="19">
        <v>2000</v>
      </c>
      <c r="C214" s="19">
        <v>35</v>
      </c>
      <c r="D214" s="19">
        <v>4.4154</v>
      </c>
      <c r="E214" s="19">
        <v>0.22955</v>
      </c>
      <c r="F214" s="19"/>
      <c r="G214" s="19"/>
      <c r="H214" s="19"/>
      <c r="I214" s="19"/>
      <c r="J214" s="19"/>
      <c r="K214" s="19">
        <v>100</v>
      </c>
      <c r="L214" s="22" t="s">
        <v>29</v>
      </c>
      <c r="M214" s="22" t="s">
        <v>33</v>
      </c>
      <c r="N214" s="24">
        <v>1</v>
      </c>
      <c r="O214" s="20">
        <v>1</v>
      </c>
      <c r="P214" s="20">
        <f t="shared" si="62"/>
        <v>1</v>
      </c>
      <c r="Q214" s="21">
        <v>33.85829408</v>
      </c>
      <c r="R214" s="20">
        <f t="shared" si="68"/>
        <v>154.53899999999999</v>
      </c>
      <c r="S214" s="20">
        <f t="shared" si="69"/>
        <v>162.57325</v>
      </c>
      <c r="T214" s="20">
        <f t="shared" si="70"/>
        <v>146.50475</v>
      </c>
      <c r="U214">
        <f t="shared" si="71"/>
        <v>8.0342500000000143</v>
      </c>
      <c r="V214">
        <f t="shared" si="72"/>
        <v>8.0342499999999859</v>
      </c>
      <c r="W214">
        <f t="shared" si="73"/>
        <v>8.0342500000000001</v>
      </c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  <c r="GE214" s="33"/>
      <c r="GF214" s="33"/>
      <c r="GG214" s="33"/>
      <c r="GH214" s="33"/>
      <c r="GI214" s="33"/>
      <c r="GJ214" s="33"/>
      <c r="GK214" s="33"/>
      <c r="GL214" s="33"/>
      <c r="GM214" s="33"/>
      <c r="GN214" s="33"/>
      <c r="GO214" s="33"/>
      <c r="GP214" s="33"/>
      <c r="GQ214" s="33"/>
      <c r="GR214" s="33"/>
      <c r="GS214" s="33"/>
      <c r="GT214" s="33"/>
      <c r="GU214" s="33"/>
      <c r="GV214" s="33"/>
      <c r="GW214" s="33"/>
      <c r="GX214" s="33"/>
      <c r="GY214" s="33"/>
      <c r="GZ214" s="33"/>
      <c r="HA214" s="33"/>
      <c r="HB214" s="33"/>
      <c r="HC214" s="33"/>
      <c r="HD214" s="33"/>
      <c r="HE214" s="33"/>
      <c r="HF214" s="33"/>
      <c r="HG214" s="33"/>
      <c r="HH214" s="33"/>
      <c r="HI214" s="33"/>
      <c r="HJ214" s="33"/>
      <c r="HK214" s="33"/>
      <c r="HL214" s="33"/>
      <c r="HM214" s="33"/>
      <c r="HN214" s="33"/>
      <c r="HO214" s="33"/>
      <c r="HP214" s="33"/>
      <c r="HQ214" s="33"/>
      <c r="HR214" s="33"/>
      <c r="HS214" s="33"/>
      <c r="HT214" s="33"/>
      <c r="HU214" s="33"/>
      <c r="HV214" s="33"/>
      <c r="HW214" s="33"/>
      <c r="HX214" s="33"/>
      <c r="HY214" s="33"/>
      <c r="HZ214" s="33"/>
      <c r="IA214" s="33"/>
      <c r="IB214" s="33"/>
      <c r="IC214" s="33"/>
      <c r="ID214" s="33"/>
      <c r="IE214" s="33"/>
      <c r="IF214" s="33"/>
      <c r="IG214" s="33"/>
      <c r="IH214" s="33"/>
      <c r="II214" s="33"/>
      <c r="IJ214" s="33"/>
      <c r="IK214" s="33"/>
      <c r="IL214" s="33"/>
      <c r="IM214" s="33"/>
      <c r="IN214" s="33"/>
      <c r="IO214" s="33"/>
      <c r="IP214" s="33"/>
      <c r="IQ214" s="33"/>
      <c r="IR214" s="33"/>
      <c r="IS214" s="33"/>
      <c r="IT214" s="33"/>
      <c r="IU214" s="33"/>
      <c r="IV214" s="33"/>
      <c r="IW214" s="33"/>
      <c r="IX214" s="33"/>
      <c r="IY214" s="33"/>
      <c r="IZ214" s="33"/>
      <c r="JA214" s="33"/>
      <c r="JB214" s="33"/>
      <c r="JC214" s="33"/>
      <c r="JD214" s="33"/>
      <c r="JE214" s="33"/>
      <c r="JF214" s="33"/>
      <c r="JG214" s="33"/>
      <c r="JH214" s="33"/>
      <c r="JI214" s="33"/>
      <c r="JJ214" s="33"/>
      <c r="JK214" s="33"/>
      <c r="JL214" s="33"/>
      <c r="JM214" s="33"/>
      <c r="JN214" s="33"/>
      <c r="JO214" s="33"/>
      <c r="JP214" s="33"/>
      <c r="JQ214" s="33"/>
      <c r="JR214" s="33"/>
      <c r="JS214" s="33"/>
      <c r="JT214" s="33"/>
      <c r="JU214" s="33"/>
      <c r="JV214" s="33"/>
      <c r="JW214" s="33"/>
      <c r="JX214" s="33"/>
      <c r="JY214" s="33"/>
      <c r="JZ214" s="33"/>
      <c r="KA214" s="33"/>
      <c r="KB214" s="33"/>
      <c r="KC214" s="33"/>
      <c r="KD214" s="33"/>
      <c r="KE214" s="33"/>
      <c r="KF214" s="33"/>
      <c r="KG214" s="33"/>
    </row>
    <row r="215" spans="1:293" s="20" customFormat="1">
      <c r="A215" s="65" t="s">
        <v>68</v>
      </c>
      <c r="B215" s="19">
        <v>2000</v>
      </c>
      <c r="C215" s="19">
        <v>45</v>
      </c>
      <c r="D215" s="19">
        <v>3.9312999999999998</v>
      </c>
      <c r="E215" s="19">
        <v>0.20033000000000001</v>
      </c>
      <c r="F215" s="19"/>
      <c r="G215" s="19"/>
      <c r="H215" s="19"/>
      <c r="I215" s="19"/>
      <c r="J215" s="19"/>
      <c r="K215" s="19">
        <v>100</v>
      </c>
      <c r="L215" s="22" t="s">
        <v>29</v>
      </c>
      <c r="M215" s="22" t="s">
        <v>33</v>
      </c>
      <c r="N215" s="24">
        <v>1</v>
      </c>
      <c r="O215" s="20">
        <v>1</v>
      </c>
      <c r="P215" s="20">
        <f t="shared" si="62"/>
        <v>1</v>
      </c>
      <c r="Q215" s="21">
        <v>42.448157790000003</v>
      </c>
      <c r="R215" s="20">
        <f t="shared" si="68"/>
        <v>176.9085</v>
      </c>
      <c r="S215" s="20">
        <f t="shared" si="69"/>
        <v>185.92334999999997</v>
      </c>
      <c r="T215" s="20">
        <f t="shared" si="70"/>
        <v>167.89364999999998</v>
      </c>
      <c r="U215">
        <f t="shared" si="71"/>
        <v>9.0148499999999672</v>
      </c>
      <c r="V215">
        <f t="shared" si="72"/>
        <v>9.014850000000024</v>
      </c>
      <c r="W215">
        <f t="shared" si="73"/>
        <v>9.0148499999999956</v>
      </c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  <c r="GE215" s="33"/>
      <c r="GF215" s="33"/>
      <c r="GG215" s="33"/>
      <c r="GH215" s="33"/>
      <c r="GI215" s="33"/>
      <c r="GJ215" s="33"/>
      <c r="GK215" s="33"/>
      <c r="GL215" s="33"/>
      <c r="GM215" s="33"/>
      <c r="GN215" s="33"/>
      <c r="GO215" s="33"/>
      <c r="GP215" s="33"/>
      <c r="GQ215" s="33"/>
      <c r="GR215" s="33"/>
      <c r="GS215" s="33"/>
      <c r="GT215" s="33"/>
      <c r="GU215" s="33"/>
      <c r="GV215" s="33"/>
      <c r="GW215" s="33"/>
      <c r="GX215" s="33"/>
      <c r="GY215" s="33"/>
      <c r="GZ215" s="33"/>
      <c r="HA215" s="33"/>
      <c r="HB215" s="33"/>
      <c r="HC215" s="33"/>
      <c r="HD215" s="33"/>
      <c r="HE215" s="33"/>
      <c r="HF215" s="33"/>
      <c r="HG215" s="33"/>
      <c r="HH215" s="33"/>
      <c r="HI215" s="33"/>
      <c r="HJ215" s="33"/>
      <c r="HK215" s="33"/>
      <c r="HL215" s="33"/>
      <c r="HM215" s="33"/>
      <c r="HN215" s="33"/>
      <c r="HO215" s="33"/>
      <c r="HP215" s="33"/>
      <c r="HQ215" s="33"/>
      <c r="HR215" s="33"/>
      <c r="HS215" s="33"/>
      <c r="HT215" s="33"/>
      <c r="HU215" s="33"/>
      <c r="HV215" s="33"/>
      <c r="HW215" s="33"/>
      <c r="HX215" s="33"/>
      <c r="HY215" s="33"/>
      <c r="HZ215" s="33"/>
      <c r="IA215" s="33"/>
      <c r="IB215" s="33"/>
      <c r="IC215" s="33"/>
      <c r="ID215" s="33"/>
      <c r="IE215" s="33"/>
      <c r="IF215" s="33"/>
      <c r="IG215" s="33"/>
      <c r="IH215" s="33"/>
      <c r="II215" s="33"/>
      <c r="IJ215" s="33"/>
      <c r="IK215" s="33"/>
      <c r="IL215" s="33"/>
      <c r="IM215" s="33"/>
      <c r="IN215" s="33"/>
      <c r="IO215" s="33"/>
      <c r="IP215" s="33"/>
      <c r="IQ215" s="33"/>
      <c r="IR215" s="33"/>
      <c r="IS215" s="33"/>
      <c r="IT215" s="33"/>
      <c r="IU215" s="33"/>
      <c r="IV215" s="33"/>
      <c r="IW215" s="33"/>
      <c r="IX215" s="33"/>
      <c r="IY215" s="33"/>
      <c r="IZ215" s="33"/>
      <c r="JA215" s="33"/>
      <c r="JB215" s="33"/>
      <c r="JC215" s="33"/>
      <c r="JD215" s="33"/>
      <c r="JE215" s="33"/>
      <c r="JF215" s="33"/>
      <c r="JG215" s="33"/>
      <c r="JH215" s="33"/>
      <c r="JI215" s="33"/>
      <c r="JJ215" s="33"/>
      <c r="JK215" s="33"/>
      <c r="JL215" s="33"/>
      <c r="JM215" s="33"/>
      <c r="JN215" s="33"/>
      <c r="JO215" s="33"/>
      <c r="JP215" s="33"/>
      <c r="JQ215" s="33"/>
      <c r="JR215" s="33"/>
      <c r="JS215" s="33"/>
      <c r="JT215" s="33"/>
      <c r="JU215" s="33"/>
      <c r="JV215" s="33"/>
      <c r="JW215" s="33"/>
      <c r="JX215" s="33"/>
      <c r="JY215" s="33"/>
      <c r="JZ215" s="33"/>
      <c r="KA215" s="33"/>
      <c r="KB215" s="33"/>
      <c r="KC215" s="33"/>
      <c r="KD215" s="33"/>
      <c r="KE215" s="33"/>
      <c r="KF215" s="33"/>
      <c r="KG215" s="33"/>
    </row>
    <row r="216" spans="1:293" s="20" customFormat="1">
      <c r="A216" s="25"/>
      <c r="B216" s="19">
        <v>2000</v>
      </c>
      <c r="C216" s="19">
        <v>55</v>
      </c>
      <c r="D216" s="19">
        <v>3.6303999999999998</v>
      </c>
      <c r="E216" s="19">
        <v>0.18781</v>
      </c>
      <c r="F216" s="19"/>
      <c r="G216" s="19"/>
      <c r="H216" s="19"/>
      <c r="I216" s="19"/>
      <c r="J216" s="19"/>
      <c r="K216" s="19">
        <v>100</v>
      </c>
      <c r="L216" s="22" t="s">
        <v>29</v>
      </c>
      <c r="M216" s="22" t="s">
        <v>33</v>
      </c>
      <c r="N216" s="24">
        <v>1</v>
      </c>
      <c r="O216" s="20">
        <v>1</v>
      </c>
      <c r="P216" s="20">
        <f t="shared" si="62"/>
        <v>1</v>
      </c>
      <c r="Q216" s="21">
        <v>50.842964289999998</v>
      </c>
      <c r="R216" s="20">
        <f t="shared" si="68"/>
        <v>199.672</v>
      </c>
      <c r="S216" s="20">
        <f t="shared" si="69"/>
        <v>210.00154999999998</v>
      </c>
      <c r="T216" s="20">
        <f t="shared" si="70"/>
        <v>189.34245000000001</v>
      </c>
      <c r="U216">
        <f t="shared" si="71"/>
        <v>10.329549999999983</v>
      </c>
      <c r="V216">
        <f t="shared" si="72"/>
        <v>10.329549999999983</v>
      </c>
      <c r="W216">
        <f t="shared" si="73"/>
        <v>10.329549999999983</v>
      </c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  <c r="GE216" s="33"/>
      <c r="GF216" s="33"/>
      <c r="GG216" s="33"/>
      <c r="GH216" s="33"/>
      <c r="GI216" s="33"/>
      <c r="GJ216" s="33"/>
      <c r="GK216" s="33"/>
      <c r="GL216" s="33"/>
      <c r="GM216" s="33"/>
      <c r="GN216" s="33"/>
      <c r="GO216" s="33"/>
      <c r="GP216" s="33"/>
      <c r="GQ216" s="33"/>
      <c r="GR216" s="33"/>
      <c r="GS216" s="33"/>
      <c r="GT216" s="33"/>
      <c r="GU216" s="33"/>
      <c r="GV216" s="33"/>
      <c r="GW216" s="33"/>
      <c r="GX216" s="33"/>
      <c r="GY216" s="33"/>
      <c r="GZ216" s="33"/>
      <c r="HA216" s="33"/>
      <c r="HB216" s="33"/>
      <c r="HC216" s="33"/>
      <c r="HD216" s="33"/>
      <c r="HE216" s="33"/>
      <c r="HF216" s="33"/>
      <c r="HG216" s="33"/>
      <c r="HH216" s="33"/>
      <c r="HI216" s="33"/>
      <c r="HJ216" s="33"/>
      <c r="HK216" s="33"/>
      <c r="HL216" s="33"/>
      <c r="HM216" s="33"/>
      <c r="HN216" s="33"/>
      <c r="HO216" s="33"/>
      <c r="HP216" s="33"/>
      <c r="HQ216" s="33"/>
      <c r="HR216" s="33"/>
      <c r="HS216" s="33"/>
      <c r="HT216" s="33"/>
      <c r="HU216" s="33"/>
      <c r="HV216" s="33"/>
      <c r="HW216" s="33"/>
      <c r="HX216" s="33"/>
      <c r="HY216" s="33"/>
      <c r="HZ216" s="33"/>
      <c r="IA216" s="33"/>
      <c r="IB216" s="33"/>
      <c r="IC216" s="33"/>
      <c r="ID216" s="33"/>
      <c r="IE216" s="33"/>
      <c r="IF216" s="33"/>
      <c r="IG216" s="33"/>
      <c r="IH216" s="33"/>
      <c r="II216" s="33"/>
      <c r="IJ216" s="33"/>
      <c r="IK216" s="33"/>
      <c r="IL216" s="33"/>
      <c r="IM216" s="33"/>
      <c r="IN216" s="33"/>
      <c r="IO216" s="33"/>
      <c r="IP216" s="33"/>
      <c r="IQ216" s="33"/>
      <c r="IR216" s="33"/>
      <c r="IS216" s="33"/>
      <c r="IT216" s="33"/>
      <c r="IU216" s="33"/>
      <c r="IV216" s="33"/>
      <c r="IW216" s="33"/>
      <c r="IX216" s="33"/>
      <c r="IY216" s="33"/>
      <c r="IZ216" s="33"/>
      <c r="JA216" s="33"/>
      <c r="JB216" s="33"/>
      <c r="JC216" s="33"/>
      <c r="JD216" s="33"/>
      <c r="JE216" s="33"/>
      <c r="JF216" s="33"/>
      <c r="JG216" s="33"/>
      <c r="JH216" s="33"/>
      <c r="JI216" s="33"/>
      <c r="JJ216" s="33"/>
      <c r="JK216" s="33"/>
      <c r="JL216" s="33"/>
      <c r="JM216" s="33"/>
      <c r="JN216" s="33"/>
      <c r="JO216" s="33"/>
      <c r="JP216" s="33"/>
      <c r="JQ216" s="33"/>
      <c r="JR216" s="33"/>
      <c r="JS216" s="33"/>
      <c r="JT216" s="33"/>
      <c r="JU216" s="33"/>
      <c r="JV216" s="33"/>
      <c r="JW216" s="33"/>
      <c r="JX216" s="33"/>
      <c r="JY216" s="33"/>
      <c r="JZ216" s="33"/>
      <c r="KA216" s="33"/>
      <c r="KB216" s="33"/>
      <c r="KC216" s="33"/>
      <c r="KD216" s="33"/>
      <c r="KE216" s="33"/>
      <c r="KF216" s="33"/>
      <c r="KG216" s="33"/>
    </row>
    <row r="217" spans="1:293" s="20" customFormat="1">
      <c r="A217" s="25"/>
      <c r="B217" s="19">
        <v>2000</v>
      </c>
      <c r="C217" s="19">
        <v>65</v>
      </c>
      <c r="D217" s="19">
        <v>3.3462999999999998</v>
      </c>
      <c r="E217" s="19">
        <v>0.17111999999999999</v>
      </c>
      <c r="F217" s="19"/>
      <c r="G217" s="19"/>
      <c r="H217" s="19"/>
      <c r="I217" s="19"/>
      <c r="J217" s="19"/>
      <c r="K217" s="19">
        <v>100</v>
      </c>
      <c r="L217" s="22" t="s">
        <v>29</v>
      </c>
      <c r="M217" s="22" t="s">
        <v>33</v>
      </c>
      <c r="N217" s="24">
        <v>1</v>
      </c>
      <c r="O217" s="20">
        <v>1</v>
      </c>
      <c r="P217" s="20">
        <f t="shared" si="62"/>
        <v>1</v>
      </c>
      <c r="Q217" s="21">
        <v>59.082076579999999</v>
      </c>
      <c r="R217" s="20">
        <f t="shared" si="68"/>
        <v>217.5095</v>
      </c>
      <c r="S217" s="20">
        <f t="shared" si="69"/>
        <v>228.63229999999999</v>
      </c>
      <c r="T217" s="20">
        <f t="shared" si="70"/>
        <v>206.38669999999999</v>
      </c>
      <c r="U217">
        <f t="shared" si="71"/>
        <v>11.122799999999984</v>
      </c>
      <c r="V217">
        <f t="shared" si="72"/>
        <v>11.122800000000012</v>
      </c>
      <c r="W217">
        <f t="shared" si="73"/>
        <v>11.122799999999998</v>
      </c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  <c r="GE217" s="33"/>
      <c r="GF217" s="33"/>
      <c r="GG217" s="33"/>
      <c r="GH217" s="33"/>
      <c r="GI217" s="33"/>
      <c r="GJ217" s="33"/>
      <c r="GK217" s="33"/>
      <c r="GL217" s="33"/>
      <c r="GM217" s="33"/>
      <c r="GN217" s="33"/>
      <c r="GO217" s="33"/>
      <c r="GP217" s="33"/>
      <c r="GQ217" s="33"/>
      <c r="GR217" s="33"/>
      <c r="GS217" s="33"/>
      <c r="GT217" s="33"/>
      <c r="GU217" s="33"/>
      <c r="GV217" s="33"/>
      <c r="GW217" s="33"/>
      <c r="GX217" s="33"/>
      <c r="GY217" s="33"/>
      <c r="GZ217" s="33"/>
      <c r="HA217" s="33"/>
      <c r="HB217" s="33"/>
      <c r="HC217" s="33"/>
      <c r="HD217" s="33"/>
      <c r="HE217" s="33"/>
      <c r="HF217" s="33"/>
      <c r="HG217" s="33"/>
      <c r="HH217" s="33"/>
      <c r="HI217" s="33"/>
      <c r="HJ217" s="33"/>
      <c r="HK217" s="33"/>
      <c r="HL217" s="33"/>
      <c r="HM217" s="33"/>
      <c r="HN217" s="33"/>
      <c r="HO217" s="33"/>
      <c r="HP217" s="33"/>
      <c r="HQ217" s="33"/>
      <c r="HR217" s="33"/>
      <c r="HS217" s="33"/>
      <c r="HT217" s="33"/>
      <c r="HU217" s="33"/>
      <c r="HV217" s="33"/>
      <c r="HW217" s="33"/>
      <c r="HX217" s="33"/>
      <c r="HY217" s="33"/>
      <c r="HZ217" s="33"/>
      <c r="IA217" s="33"/>
      <c r="IB217" s="33"/>
      <c r="IC217" s="33"/>
      <c r="ID217" s="33"/>
      <c r="IE217" s="33"/>
      <c r="IF217" s="33"/>
      <c r="IG217" s="33"/>
      <c r="IH217" s="33"/>
      <c r="II217" s="33"/>
      <c r="IJ217" s="33"/>
      <c r="IK217" s="33"/>
      <c r="IL217" s="33"/>
      <c r="IM217" s="33"/>
      <c r="IN217" s="33"/>
      <c r="IO217" s="33"/>
      <c r="IP217" s="33"/>
      <c r="IQ217" s="33"/>
      <c r="IR217" s="33"/>
      <c r="IS217" s="33"/>
      <c r="IT217" s="33"/>
      <c r="IU217" s="33"/>
      <c r="IV217" s="33"/>
      <c r="IW217" s="33"/>
      <c r="IX217" s="33"/>
      <c r="IY217" s="33"/>
      <c r="IZ217" s="33"/>
      <c r="JA217" s="33"/>
      <c r="JB217" s="33"/>
      <c r="JC217" s="33"/>
      <c r="JD217" s="33"/>
      <c r="JE217" s="33"/>
      <c r="JF217" s="33"/>
      <c r="JG217" s="33"/>
      <c r="JH217" s="33"/>
      <c r="JI217" s="33"/>
      <c r="JJ217" s="33"/>
      <c r="JK217" s="33"/>
      <c r="JL217" s="33"/>
      <c r="JM217" s="33"/>
      <c r="JN217" s="33"/>
      <c r="JO217" s="33"/>
      <c r="JP217" s="33"/>
      <c r="JQ217" s="33"/>
      <c r="JR217" s="33"/>
      <c r="JS217" s="33"/>
      <c r="JT217" s="33"/>
      <c r="JU217" s="33"/>
      <c r="JV217" s="33"/>
      <c r="JW217" s="33"/>
      <c r="JX217" s="33"/>
      <c r="JY217" s="33"/>
      <c r="JZ217" s="33"/>
      <c r="KA217" s="33"/>
      <c r="KB217" s="33"/>
      <c r="KC217" s="33"/>
      <c r="KD217" s="33"/>
      <c r="KE217" s="33"/>
      <c r="KF217" s="33"/>
      <c r="KG217" s="33"/>
    </row>
    <row r="218" spans="1:293" s="20" customFormat="1">
      <c r="A218" s="25"/>
      <c r="B218" s="19">
        <v>2000</v>
      </c>
      <c r="C218" s="19">
        <v>75</v>
      </c>
      <c r="D218" s="19">
        <v>3.1953999999999998</v>
      </c>
      <c r="E218" s="19">
        <v>0.16694000000000001</v>
      </c>
      <c r="F218" s="19"/>
      <c r="G218" s="19"/>
      <c r="H218" s="19"/>
      <c r="I218" s="19"/>
      <c r="J218" s="19"/>
      <c r="K218" s="19">
        <v>100</v>
      </c>
      <c r="L218" s="22" t="s">
        <v>29</v>
      </c>
      <c r="M218" s="22" t="s">
        <v>33</v>
      </c>
      <c r="N218" s="24">
        <v>1</v>
      </c>
      <c r="O218" s="20">
        <v>1</v>
      </c>
      <c r="P218" s="20">
        <f t="shared" si="62"/>
        <v>1</v>
      </c>
      <c r="Q218" s="21">
        <v>67.191999589999995</v>
      </c>
      <c r="R218" s="20">
        <f t="shared" si="68"/>
        <v>239.65499999999997</v>
      </c>
      <c r="S218" s="20">
        <f t="shared" si="69"/>
        <v>252.17549999999997</v>
      </c>
      <c r="T218" s="20">
        <f t="shared" si="70"/>
        <v>227.1345</v>
      </c>
      <c r="U218">
        <f t="shared" si="71"/>
        <v>12.520499999999998</v>
      </c>
      <c r="V218">
        <f t="shared" si="72"/>
        <v>12.52049999999997</v>
      </c>
      <c r="W218">
        <f t="shared" si="73"/>
        <v>12.520499999999984</v>
      </c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  <c r="GE218" s="33"/>
      <c r="GF218" s="33"/>
      <c r="GG218" s="33"/>
      <c r="GH218" s="33"/>
      <c r="GI218" s="33"/>
      <c r="GJ218" s="33"/>
      <c r="GK218" s="33"/>
      <c r="GL218" s="33"/>
      <c r="GM218" s="33"/>
      <c r="GN218" s="33"/>
      <c r="GO218" s="33"/>
      <c r="GP218" s="33"/>
      <c r="GQ218" s="33"/>
      <c r="GR218" s="33"/>
      <c r="GS218" s="33"/>
      <c r="GT218" s="33"/>
      <c r="GU218" s="33"/>
      <c r="GV218" s="33"/>
      <c r="GW218" s="33"/>
      <c r="GX218" s="33"/>
      <c r="GY218" s="33"/>
      <c r="GZ218" s="33"/>
      <c r="HA218" s="33"/>
      <c r="HB218" s="33"/>
      <c r="HC218" s="33"/>
      <c r="HD218" s="33"/>
      <c r="HE218" s="33"/>
      <c r="HF218" s="33"/>
      <c r="HG218" s="33"/>
      <c r="HH218" s="33"/>
      <c r="HI218" s="33"/>
      <c r="HJ218" s="33"/>
      <c r="HK218" s="33"/>
      <c r="HL218" s="33"/>
      <c r="HM218" s="33"/>
      <c r="HN218" s="33"/>
      <c r="HO218" s="33"/>
      <c r="HP218" s="33"/>
      <c r="HQ218" s="33"/>
      <c r="HR218" s="33"/>
      <c r="HS218" s="33"/>
      <c r="HT218" s="33"/>
      <c r="HU218" s="33"/>
      <c r="HV218" s="33"/>
      <c r="HW218" s="33"/>
      <c r="HX218" s="33"/>
      <c r="HY218" s="33"/>
      <c r="HZ218" s="33"/>
      <c r="IA218" s="33"/>
      <c r="IB218" s="33"/>
      <c r="IC218" s="33"/>
      <c r="ID218" s="33"/>
      <c r="IE218" s="33"/>
      <c r="IF218" s="33"/>
      <c r="IG218" s="33"/>
      <c r="IH218" s="33"/>
      <c r="II218" s="33"/>
      <c r="IJ218" s="33"/>
      <c r="IK218" s="33"/>
      <c r="IL218" s="33"/>
      <c r="IM218" s="33"/>
      <c r="IN218" s="33"/>
      <c r="IO218" s="33"/>
      <c r="IP218" s="33"/>
      <c r="IQ218" s="33"/>
      <c r="IR218" s="33"/>
      <c r="IS218" s="33"/>
      <c r="IT218" s="33"/>
      <c r="IU218" s="33"/>
      <c r="IV218" s="33"/>
      <c r="IW218" s="33"/>
      <c r="IX218" s="33"/>
      <c r="IY218" s="33"/>
      <c r="IZ218" s="33"/>
      <c r="JA218" s="33"/>
      <c r="JB218" s="33"/>
      <c r="JC218" s="33"/>
      <c r="JD218" s="33"/>
      <c r="JE218" s="33"/>
      <c r="JF218" s="33"/>
      <c r="JG218" s="33"/>
      <c r="JH218" s="33"/>
      <c r="JI218" s="33"/>
      <c r="JJ218" s="33"/>
      <c r="JK218" s="33"/>
      <c r="JL218" s="33"/>
      <c r="JM218" s="33"/>
      <c r="JN218" s="33"/>
      <c r="JO218" s="33"/>
      <c r="JP218" s="33"/>
      <c r="JQ218" s="33"/>
      <c r="JR218" s="33"/>
      <c r="JS218" s="33"/>
      <c r="JT218" s="33"/>
      <c r="JU218" s="33"/>
      <c r="JV218" s="33"/>
      <c r="JW218" s="33"/>
      <c r="JX218" s="33"/>
      <c r="JY218" s="33"/>
      <c r="JZ218" s="33"/>
      <c r="KA218" s="33"/>
      <c r="KB218" s="33"/>
      <c r="KC218" s="33"/>
      <c r="KD218" s="33"/>
      <c r="KE218" s="33"/>
      <c r="KF218" s="33"/>
      <c r="KG218" s="33"/>
    </row>
    <row r="219" spans="1:293" s="20" customFormat="1">
      <c r="A219" s="25"/>
      <c r="B219" s="19">
        <v>2000</v>
      </c>
      <c r="C219" s="19">
        <v>85</v>
      </c>
      <c r="D219" s="19">
        <v>3.1113</v>
      </c>
      <c r="E219" s="19">
        <v>0.16694000000000001</v>
      </c>
      <c r="F219" s="19"/>
      <c r="G219" s="19"/>
      <c r="H219" s="19"/>
      <c r="I219" s="19"/>
      <c r="J219" s="19"/>
      <c r="K219" s="19">
        <v>100</v>
      </c>
      <c r="L219" s="22" t="s">
        <v>29</v>
      </c>
      <c r="M219" s="22" t="s">
        <v>33</v>
      </c>
      <c r="N219" s="24">
        <v>1</v>
      </c>
      <c r="O219" s="20">
        <v>1</v>
      </c>
      <c r="P219" s="20">
        <f t="shared" si="62"/>
        <v>1</v>
      </c>
      <c r="Q219" s="21">
        <v>75.191760790000004</v>
      </c>
      <c r="R219" s="20">
        <f t="shared" si="68"/>
        <v>264.46050000000002</v>
      </c>
      <c r="S219" s="20">
        <f t="shared" si="69"/>
        <v>278.65039999999999</v>
      </c>
      <c r="T219" s="20">
        <f t="shared" si="70"/>
        <v>250.2706</v>
      </c>
      <c r="U219">
        <f t="shared" si="71"/>
        <v>14.189899999999966</v>
      </c>
      <c r="V219">
        <f t="shared" si="72"/>
        <v>14.189900000000023</v>
      </c>
      <c r="W219">
        <f t="shared" si="73"/>
        <v>14.189899999999994</v>
      </c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  <c r="GE219" s="33"/>
      <c r="GF219" s="33"/>
      <c r="GG219" s="33"/>
      <c r="GH219" s="33"/>
      <c r="GI219" s="33"/>
      <c r="GJ219" s="33"/>
      <c r="GK219" s="33"/>
      <c r="GL219" s="33"/>
      <c r="GM219" s="33"/>
      <c r="GN219" s="33"/>
      <c r="GO219" s="33"/>
      <c r="GP219" s="33"/>
      <c r="GQ219" s="33"/>
      <c r="GR219" s="33"/>
      <c r="GS219" s="33"/>
      <c r="GT219" s="33"/>
      <c r="GU219" s="33"/>
      <c r="GV219" s="33"/>
      <c r="GW219" s="33"/>
      <c r="GX219" s="33"/>
      <c r="GY219" s="33"/>
      <c r="GZ219" s="33"/>
      <c r="HA219" s="33"/>
      <c r="HB219" s="33"/>
      <c r="HC219" s="33"/>
      <c r="HD219" s="33"/>
      <c r="HE219" s="33"/>
      <c r="HF219" s="33"/>
      <c r="HG219" s="33"/>
      <c r="HH219" s="33"/>
      <c r="HI219" s="33"/>
      <c r="HJ219" s="33"/>
      <c r="HK219" s="33"/>
      <c r="HL219" s="33"/>
      <c r="HM219" s="33"/>
      <c r="HN219" s="33"/>
      <c r="HO219" s="33"/>
      <c r="HP219" s="33"/>
      <c r="HQ219" s="33"/>
      <c r="HR219" s="33"/>
      <c r="HS219" s="33"/>
      <c r="HT219" s="33"/>
      <c r="HU219" s="33"/>
      <c r="HV219" s="33"/>
      <c r="HW219" s="33"/>
      <c r="HX219" s="33"/>
      <c r="HY219" s="33"/>
      <c r="HZ219" s="33"/>
      <c r="IA219" s="33"/>
      <c r="IB219" s="33"/>
      <c r="IC219" s="33"/>
      <c r="ID219" s="33"/>
      <c r="IE219" s="33"/>
      <c r="IF219" s="33"/>
      <c r="IG219" s="33"/>
      <c r="IH219" s="33"/>
      <c r="II219" s="33"/>
      <c r="IJ219" s="33"/>
      <c r="IK219" s="33"/>
      <c r="IL219" s="33"/>
      <c r="IM219" s="33"/>
      <c r="IN219" s="33"/>
      <c r="IO219" s="33"/>
      <c r="IP219" s="33"/>
      <c r="IQ219" s="33"/>
      <c r="IR219" s="33"/>
      <c r="IS219" s="33"/>
      <c r="IT219" s="33"/>
      <c r="IU219" s="33"/>
      <c r="IV219" s="33"/>
      <c r="IW219" s="33"/>
      <c r="IX219" s="33"/>
      <c r="IY219" s="33"/>
      <c r="IZ219" s="33"/>
      <c r="JA219" s="33"/>
      <c r="JB219" s="33"/>
      <c r="JC219" s="33"/>
      <c r="JD219" s="33"/>
      <c r="JE219" s="33"/>
      <c r="JF219" s="33"/>
      <c r="JG219" s="33"/>
      <c r="JH219" s="33"/>
      <c r="JI219" s="33"/>
      <c r="JJ219" s="33"/>
      <c r="JK219" s="33"/>
      <c r="JL219" s="33"/>
      <c r="JM219" s="33"/>
      <c r="JN219" s="33"/>
      <c r="JO219" s="33"/>
      <c r="JP219" s="33"/>
      <c r="JQ219" s="33"/>
      <c r="JR219" s="33"/>
      <c r="JS219" s="33"/>
      <c r="JT219" s="33"/>
      <c r="JU219" s="33"/>
      <c r="JV219" s="33"/>
      <c r="JW219" s="33"/>
      <c r="JX219" s="33"/>
      <c r="JY219" s="33"/>
      <c r="JZ219" s="33"/>
      <c r="KA219" s="33"/>
      <c r="KB219" s="33"/>
      <c r="KC219" s="33"/>
      <c r="KD219" s="33"/>
      <c r="KE219" s="33"/>
      <c r="KF219" s="33"/>
      <c r="KG219" s="33"/>
    </row>
    <row r="220" spans="1:293" s="20" customFormat="1">
      <c r="A220" s="25"/>
      <c r="B220" s="19">
        <v>2000</v>
      </c>
      <c r="C220" s="19">
        <v>95</v>
      </c>
      <c r="D220" s="19">
        <v>2.8437999999999999</v>
      </c>
      <c r="E220" s="19">
        <v>0.15859999999999999</v>
      </c>
      <c r="F220" s="19"/>
      <c r="G220" s="19"/>
      <c r="H220" s="19"/>
      <c r="I220" s="19"/>
      <c r="J220" s="19"/>
      <c r="K220" s="19">
        <v>100</v>
      </c>
      <c r="L220" s="22" t="s">
        <v>29</v>
      </c>
      <c r="M220" s="22" t="s">
        <v>33</v>
      </c>
      <c r="N220" s="24">
        <v>1</v>
      </c>
      <c r="O220" s="20">
        <v>1</v>
      </c>
      <c r="P220" s="20">
        <f t="shared" si="62"/>
        <v>1</v>
      </c>
      <c r="Q220" s="21">
        <v>83.095661190000001</v>
      </c>
      <c r="R220" s="20">
        <f t="shared" si="68"/>
        <v>270.161</v>
      </c>
      <c r="S220" s="20">
        <f t="shared" si="69"/>
        <v>285.22799999999995</v>
      </c>
      <c r="T220" s="20">
        <f t="shared" si="70"/>
        <v>255.09399999999999</v>
      </c>
      <c r="U220">
        <f t="shared" si="71"/>
        <v>15.06699999999995</v>
      </c>
      <c r="V220">
        <f t="shared" si="72"/>
        <v>15.067000000000007</v>
      </c>
      <c r="W220">
        <f t="shared" si="73"/>
        <v>15.066999999999979</v>
      </c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  <c r="GE220" s="33"/>
      <c r="GF220" s="33"/>
      <c r="GG220" s="33"/>
      <c r="GH220" s="33"/>
      <c r="GI220" s="33"/>
      <c r="GJ220" s="33"/>
      <c r="GK220" s="33"/>
      <c r="GL220" s="33"/>
      <c r="GM220" s="33"/>
      <c r="GN220" s="33"/>
      <c r="GO220" s="33"/>
      <c r="GP220" s="33"/>
      <c r="GQ220" s="33"/>
      <c r="GR220" s="33"/>
      <c r="GS220" s="33"/>
      <c r="GT220" s="33"/>
      <c r="GU220" s="33"/>
      <c r="GV220" s="33"/>
      <c r="GW220" s="33"/>
      <c r="GX220" s="33"/>
      <c r="GY220" s="33"/>
      <c r="GZ220" s="33"/>
      <c r="HA220" s="33"/>
      <c r="HB220" s="33"/>
      <c r="HC220" s="33"/>
      <c r="HD220" s="33"/>
      <c r="HE220" s="33"/>
      <c r="HF220" s="33"/>
      <c r="HG220" s="33"/>
      <c r="HH220" s="33"/>
      <c r="HI220" s="33"/>
      <c r="HJ220" s="33"/>
      <c r="HK220" s="33"/>
      <c r="HL220" s="33"/>
      <c r="HM220" s="33"/>
      <c r="HN220" s="33"/>
      <c r="HO220" s="33"/>
      <c r="HP220" s="33"/>
      <c r="HQ220" s="33"/>
      <c r="HR220" s="33"/>
      <c r="HS220" s="33"/>
      <c r="HT220" s="33"/>
      <c r="HU220" s="33"/>
      <c r="HV220" s="33"/>
      <c r="HW220" s="33"/>
      <c r="HX220" s="33"/>
      <c r="HY220" s="33"/>
      <c r="HZ220" s="33"/>
      <c r="IA220" s="33"/>
      <c r="IB220" s="33"/>
      <c r="IC220" s="33"/>
      <c r="ID220" s="33"/>
      <c r="IE220" s="33"/>
      <c r="IF220" s="33"/>
      <c r="IG220" s="33"/>
      <c r="IH220" s="33"/>
      <c r="II220" s="33"/>
      <c r="IJ220" s="33"/>
      <c r="IK220" s="33"/>
      <c r="IL220" s="33"/>
      <c r="IM220" s="33"/>
      <c r="IN220" s="33"/>
      <c r="IO220" s="33"/>
      <c r="IP220" s="33"/>
      <c r="IQ220" s="33"/>
      <c r="IR220" s="33"/>
      <c r="IS220" s="33"/>
      <c r="IT220" s="33"/>
      <c r="IU220" s="33"/>
      <c r="IV220" s="33"/>
      <c r="IW220" s="33"/>
      <c r="IX220" s="33"/>
      <c r="IY220" s="33"/>
      <c r="IZ220" s="33"/>
      <c r="JA220" s="33"/>
      <c r="JB220" s="33"/>
      <c r="JC220" s="33"/>
      <c r="JD220" s="33"/>
      <c r="JE220" s="33"/>
      <c r="JF220" s="33"/>
      <c r="JG220" s="33"/>
      <c r="JH220" s="33"/>
      <c r="JI220" s="33"/>
      <c r="JJ220" s="33"/>
      <c r="JK220" s="33"/>
      <c r="JL220" s="33"/>
      <c r="JM220" s="33"/>
      <c r="JN220" s="33"/>
      <c r="JO220" s="33"/>
      <c r="JP220" s="33"/>
      <c r="JQ220" s="33"/>
      <c r="JR220" s="33"/>
      <c r="JS220" s="33"/>
      <c r="JT220" s="33"/>
      <c r="JU220" s="33"/>
      <c r="JV220" s="33"/>
      <c r="JW220" s="33"/>
      <c r="JX220" s="33"/>
      <c r="JY220" s="33"/>
      <c r="JZ220" s="33"/>
      <c r="KA220" s="33"/>
      <c r="KB220" s="33"/>
      <c r="KC220" s="33"/>
      <c r="KD220" s="33"/>
      <c r="KE220" s="33"/>
      <c r="KF220" s="33"/>
      <c r="KG220" s="33"/>
    </row>
    <row r="221" spans="1:293" s="20" customFormat="1">
      <c r="A221" s="25"/>
      <c r="B221" s="19">
        <v>2000</v>
      </c>
      <c r="C221" s="19">
        <v>105</v>
      </c>
      <c r="D221" s="19">
        <v>2.7012999999999998</v>
      </c>
      <c r="E221" s="19">
        <v>0.15442</v>
      </c>
      <c r="F221" s="19"/>
      <c r="G221" s="19"/>
      <c r="H221" s="19"/>
      <c r="I221" s="19"/>
      <c r="J221" s="19"/>
      <c r="K221" s="19">
        <v>100</v>
      </c>
      <c r="L221" s="22" t="s">
        <v>29</v>
      </c>
      <c r="M221" s="22" t="s">
        <v>33</v>
      </c>
      <c r="N221" s="24">
        <v>1</v>
      </c>
      <c r="O221" s="20">
        <v>1</v>
      </c>
      <c r="P221" s="20">
        <f t="shared" si="62"/>
        <v>1</v>
      </c>
      <c r="Q221" s="21">
        <v>90.914827759999994</v>
      </c>
      <c r="R221" s="20">
        <f t="shared" si="68"/>
        <v>283.63649999999996</v>
      </c>
      <c r="S221" s="20">
        <f t="shared" si="69"/>
        <v>299.85059999999999</v>
      </c>
      <c r="T221" s="20">
        <f t="shared" si="70"/>
        <v>267.42239999999998</v>
      </c>
      <c r="U221">
        <f t="shared" si="71"/>
        <v>16.21410000000003</v>
      </c>
      <c r="V221">
        <f t="shared" si="72"/>
        <v>16.214099999999974</v>
      </c>
      <c r="W221">
        <f t="shared" si="73"/>
        <v>16.214100000000002</v>
      </c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  <c r="GE221" s="33"/>
      <c r="GF221" s="33"/>
      <c r="GG221" s="33"/>
      <c r="GH221" s="33"/>
      <c r="GI221" s="33"/>
      <c r="GJ221" s="33"/>
      <c r="GK221" s="33"/>
      <c r="GL221" s="33"/>
      <c r="GM221" s="33"/>
      <c r="GN221" s="33"/>
      <c r="GO221" s="33"/>
      <c r="GP221" s="33"/>
      <c r="GQ221" s="33"/>
      <c r="GR221" s="33"/>
      <c r="GS221" s="33"/>
      <c r="GT221" s="33"/>
      <c r="GU221" s="33"/>
      <c r="GV221" s="33"/>
      <c r="GW221" s="33"/>
      <c r="GX221" s="33"/>
      <c r="GY221" s="33"/>
      <c r="GZ221" s="33"/>
      <c r="HA221" s="33"/>
      <c r="HB221" s="33"/>
      <c r="HC221" s="33"/>
      <c r="HD221" s="33"/>
      <c r="HE221" s="33"/>
      <c r="HF221" s="33"/>
      <c r="HG221" s="33"/>
      <c r="HH221" s="33"/>
      <c r="HI221" s="33"/>
      <c r="HJ221" s="33"/>
      <c r="HK221" s="33"/>
      <c r="HL221" s="33"/>
      <c r="HM221" s="33"/>
      <c r="HN221" s="33"/>
      <c r="HO221" s="33"/>
      <c r="HP221" s="33"/>
      <c r="HQ221" s="33"/>
      <c r="HR221" s="33"/>
      <c r="HS221" s="33"/>
      <c r="HT221" s="33"/>
      <c r="HU221" s="33"/>
      <c r="HV221" s="33"/>
      <c r="HW221" s="33"/>
      <c r="HX221" s="33"/>
      <c r="HY221" s="33"/>
      <c r="HZ221" s="33"/>
      <c r="IA221" s="33"/>
      <c r="IB221" s="33"/>
      <c r="IC221" s="33"/>
      <c r="ID221" s="33"/>
      <c r="IE221" s="33"/>
      <c r="IF221" s="33"/>
      <c r="IG221" s="33"/>
      <c r="IH221" s="33"/>
      <c r="II221" s="33"/>
      <c r="IJ221" s="33"/>
      <c r="IK221" s="33"/>
      <c r="IL221" s="33"/>
      <c r="IM221" s="33"/>
      <c r="IN221" s="33"/>
      <c r="IO221" s="33"/>
      <c r="IP221" s="33"/>
      <c r="IQ221" s="33"/>
      <c r="IR221" s="33"/>
      <c r="IS221" s="33"/>
      <c r="IT221" s="33"/>
      <c r="IU221" s="33"/>
      <c r="IV221" s="33"/>
      <c r="IW221" s="33"/>
      <c r="IX221" s="33"/>
      <c r="IY221" s="33"/>
      <c r="IZ221" s="33"/>
      <c r="JA221" s="33"/>
      <c r="JB221" s="33"/>
      <c r="JC221" s="33"/>
      <c r="JD221" s="33"/>
      <c r="JE221" s="33"/>
      <c r="JF221" s="33"/>
      <c r="JG221" s="33"/>
      <c r="JH221" s="33"/>
      <c r="JI221" s="33"/>
      <c r="JJ221" s="33"/>
      <c r="JK221" s="33"/>
      <c r="JL221" s="33"/>
      <c r="JM221" s="33"/>
      <c r="JN221" s="33"/>
      <c r="JO221" s="33"/>
      <c r="JP221" s="33"/>
      <c r="JQ221" s="33"/>
      <c r="JR221" s="33"/>
      <c r="JS221" s="33"/>
      <c r="JT221" s="33"/>
      <c r="JU221" s="33"/>
      <c r="JV221" s="33"/>
      <c r="JW221" s="33"/>
      <c r="JX221" s="33"/>
      <c r="JY221" s="33"/>
      <c r="JZ221" s="33"/>
      <c r="KA221" s="33"/>
      <c r="KB221" s="33"/>
      <c r="KC221" s="33"/>
      <c r="KD221" s="33"/>
      <c r="KE221" s="33"/>
      <c r="KF221" s="33"/>
      <c r="KG221" s="33"/>
    </row>
    <row r="222" spans="1:293" s="20" customFormat="1">
      <c r="A222" s="25"/>
      <c r="B222" s="19">
        <v>2000</v>
      </c>
      <c r="C222" s="19">
        <v>115</v>
      </c>
      <c r="D222" s="19">
        <v>2.5670999999999999</v>
      </c>
      <c r="E222" s="19">
        <v>0.15442</v>
      </c>
      <c r="F222" s="19"/>
      <c r="G222" s="19"/>
      <c r="H222" s="19"/>
      <c r="I222" s="19"/>
      <c r="J222" s="19"/>
      <c r="K222" s="19">
        <v>100</v>
      </c>
      <c r="L222" s="22" t="s">
        <v>29</v>
      </c>
      <c r="M222" s="22" t="s">
        <v>33</v>
      </c>
      <c r="N222" s="24">
        <v>1</v>
      </c>
      <c r="O222" s="20">
        <v>1</v>
      </c>
      <c r="P222" s="20">
        <f t="shared" si="62"/>
        <v>1</v>
      </c>
      <c r="Q222" s="21">
        <v>98.658155179999994</v>
      </c>
      <c r="R222" s="20">
        <f t="shared" si="68"/>
        <v>295.2165</v>
      </c>
      <c r="S222" s="20">
        <f t="shared" si="69"/>
        <v>312.97480000000002</v>
      </c>
      <c r="T222" s="20">
        <f t="shared" si="70"/>
        <v>277.45819999999998</v>
      </c>
      <c r="U222">
        <f t="shared" si="71"/>
        <v>17.75830000000002</v>
      </c>
      <c r="V222">
        <f t="shared" si="72"/>
        <v>17.75830000000002</v>
      </c>
      <c r="W222">
        <f t="shared" si="73"/>
        <v>17.75830000000002</v>
      </c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  <c r="GE222" s="33"/>
      <c r="GF222" s="33"/>
      <c r="GG222" s="33"/>
      <c r="GH222" s="33"/>
      <c r="GI222" s="33"/>
      <c r="GJ222" s="33"/>
      <c r="GK222" s="33"/>
      <c r="GL222" s="33"/>
      <c r="GM222" s="33"/>
      <c r="GN222" s="33"/>
      <c r="GO222" s="33"/>
      <c r="GP222" s="33"/>
      <c r="GQ222" s="33"/>
      <c r="GR222" s="33"/>
      <c r="GS222" s="33"/>
      <c r="GT222" s="33"/>
      <c r="GU222" s="33"/>
      <c r="GV222" s="33"/>
      <c r="GW222" s="33"/>
      <c r="GX222" s="33"/>
      <c r="GY222" s="33"/>
      <c r="GZ222" s="33"/>
      <c r="HA222" s="33"/>
      <c r="HB222" s="33"/>
      <c r="HC222" s="33"/>
      <c r="HD222" s="33"/>
      <c r="HE222" s="33"/>
      <c r="HF222" s="33"/>
      <c r="HG222" s="33"/>
      <c r="HH222" s="33"/>
      <c r="HI222" s="33"/>
      <c r="HJ222" s="33"/>
      <c r="HK222" s="33"/>
      <c r="HL222" s="33"/>
      <c r="HM222" s="33"/>
      <c r="HN222" s="33"/>
      <c r="HO222" s="33"/>
      <c r="HP222" s="33"/>
      <c r="HQ222" s="33"/>
      <c r="HR222" s="33"/>
      <c r="HS222" s="33"/>
      <c r="HT222" s="33"/>
      <c r="HU222" s="33"/>
      <c r="HV222" s="33"/>
      <c r="HW222" s="33"/>
      <c r="HX222" s="33"/>
      <c r="HY222" s="33"/>
      <c r="HZ222" s="33"/>
      <c r="IA222" s="33"/>
      <c r="IB222" s="33"/>
      <c r="IC222" s="33"/>
      <c r="ID222" s="33"/>
      <c r="IE222" s="33"/>
      <c r="IF222" s="33"/>
      <c r="IG222" s="33"/>
      <c r="IH222" s="33"/>
      <c r="II222" s="33"/>
      <c r="IJ222" s="33"/>
      <c r="IK222" s="33"/>
      <c r="IL222" s="33"/>
      <c r="IM222" s="33"/>
      <c r="IN222" s="33"/>
      <c r="IO222" s="33"/>
      <c r="IP222" s="33"/>
      <c r="IQ222" s="33"/>
      <c r="IR222" s="33"/>
      <c r="IS222" s="33"/>
      <c r="IT222" s="33"/>
      <c r="IU222" s="33"/>
      <c r="IV222" s="33"/>
      <c r="IW222" s="33"/>
      <c r="IX222" s="33"/>
      <c r="IY222" s="33"/>
      <c r="IZ222" s="33"/>
      <c r="JA222" s="33"/>
      <c r="JB222" s="33"/>
      <c r="JC222" s="33"/>
      <c r="JD222" s="33"/>
      <c r="JE222" s="33"/>
      <c r="JF222" s="33"/>
      <c r="JG222" s="33"/>
      <c r="JH222" s="33"/>
      <c r="JI222" s="33"/>
      <c r="JJ222" s="33"/>
      <c r="JK222" s="33"/>
      <c r="JL222" s="33"/>
      <c r="JM222" s="33"/>
      <c r="JN222" s="33"/>
      <c r="JO222" s="33"/>
      <c r="JP222" s="33"/>
      <c r="JQ222" s="33"/>
      <c r="JR222" s="33"/>
      <c r="JS222" s="33"/>
      <c r="JT222" s="33"/>
      <c r="JU222" s="33"/>
      <c r="JV222" s="33"/>
      <c r="JW222" s="33"/>
      <c r="JX222" s="33"/>
      <c r="JY222" s="33"/>
      <c r="JZ222" s="33"/>
      <c r="KA222" s="33"/>
      <c r="KB222" s="33"/>
      <c r="KC222" s="33"/>
      <c r="KD222" s="33"/>
      <c r="KE222" s="33"/>
      <c r="KF222" s="33"/>
      <c r="KG222" s="33"/>
    </row>
    <row r="223" spans="1:293">
      <c r="A223" s="10" t="s">
        <v>4</v>
      </c>
      <c r="B223" s="4">
        <v>2030</v>
      </c>
      <c r="C223" s="4">
        <v>35</v>
      </c>
      <c r="D223" s="4">
        <v>3.7321</v>
      </c>
      <c r="E223" s="4">
        <v>0.12659999999999999</v>
      </c>
      <c r="F223" s="4"/>
      <c r="G223" s="4"/>
      <c r="H223" s="4"/>
      <c r="I223" s="4"/>
      <c r="J223" s="4"/>
      <c r="K223" s="3">
        <v>300</v>
      </c>
      <c r="L223" s="3">
        <v>10</v>
      </c>
      <c r="M223" s="3">
        <f t="shared" ref="M223:M231" si="74">L223/1.85</f>
        <v>5.4054054054054053</v>
      </c>
      <c r="N223" s="15">
        <v>1</v>
      </c>
      <c r="O223">
        <f t="shared" ref="O223:O286" si="75">-0.03754*M223^2+0.5266*M223-0.84645</f>
        <v>0.90317746530314091</v>
      </c>
      <c r="P223">
        <f t="shared" si="62"/>
        <v>1.1072021152170373</v>
      </c>
      <c r="Q223" s="7">
        <v>33.85829408</v>
      </c>
      <c r="R223">
        <f t="shared" si="68"/>
        <v>144.62661549705268</v>
      </c>
      <c r="S223">
        <f t="shared" si="69"/>
        <v>149.53262806957935</v>
      </c>
      <c r="T223">
        <f t="shared" si="70"/>
        <v>139.72060292452599</v>
      </c>
      <c r="U223">
        <f t="shared" si="71"/>
        <v>4.906012572526663</v>
      </c>
      <c r="V223">
        <f t="shared" si="72"/>
        <v>4.9060125725266914</v>
      </c>
      <c r="W223">
        <f t="shared" si="73"/>
        <v>4.9060125725266772</v>
      </c>
    </row>
    <row r="224" spans="1:293">
      <c r="A224" s="65" t="s">
        <v>64</v>
      </c>
      <c r="B224" s="4">
        <v>2030</v>
      </c>
      <c r="C224" s="4">
        <v>45</v>
      </c>
      <c r="D224" s="4">
        <v>3.4228999999999998</v>
      </c>
      <c r="E224" s="4">
        <v>0.12659999999999999</v>
      </c>
      <c r="F224" s="4"/>
      <c r="G224" s="4"/>
      <c r="H224" s="4"/>
      <c r="I224" s="4"/>
      <c r="J224" s="4"/>
      <c r="K224" s="3">
        <v>300</v>
      </c>
      <c r="L224" s="3">
        <v>10</v>
      </c>
      <c r="M224" s="3">
        <f t="shared" si="74"/>
        <v>5.4054054054054053</v>
      </c>
      <c r="N224" s="15">
        <v>1</v>
      </c>
      <c r="O224">
        <f t="shared" si="75"/>
        <v>0.90317746530314091</v>
      </c>
      <c r="P224">
        <f t="shared" si="62"/>
        <v>1.1072021152170373</v>
      </c>
      <c r="Q224" s="7">
        <v>42.448157790000003</v>
      </c>
      <c r="R224">
        <f t="shared" si="68"/>
        <v>170.54289540793783</v>
      </c>
      <c r="S224">
        <f t="shared" si="69"/>
        <v>176.85062585832932</v>
      </c>
      <c r="T224">
        <f t="shared" si="70"/>
        <v>164.23516495754637</v>
      </c>
      <c r="U224">
        <f t="shared" si="71"/>
        <v>6.3077304503914888</v>
      </c>
      <c r="V224">
        <f t="shared" si="72"/>
        <v>6.3077304503914604</v>
      </c>
      <c r="W224">
        <f t="shared" si="73"/>
        <v>6.3077304503914746</v>
      </c>
    </row>
    <row r="225" spans="1:293">
      <c r="A225" s="65" t="s">
        <v>68</v>
      </c>
      <c r="B225" s="4">
        <v>2030</v>
      </c>
      <c r="C225" s="4">
        <v>55</v>
      </c>
      <c r="D225" s="4">
        <v>3.2138</v>
      </c>
      <c r="E225" s="4">
        <v>0.12659999999999999</v>
      </c>
      <c r="F225" s="4"/>
      <c r="G225" s="4"/>
      <c r="H225" s="4"/>
      <c r="I225" s="4"/>
      <c r="J225" s="4"/>
      <c r="K225" s="3">
        <v>300</v>
      </c>
      <c r="L225" s="3">
        <v>10</v>
      </c>
      <c r="M225" s="3">
        <f t="shared" si="74"/>
        <v>5.4054054054054053</v>
      </c>
      <c r="N225" s="15">
        <v>1</v>
      </c>
      <c r="O225">
        <f t="shared" si="75"/>
        <v>0.90317746530314091</v>
      </c>
      <c r="P225">
        <f t="shared" si="62"/>
        <v>1.1072021152170373</v>
      </c>
      <c r="Q225" s="7">
        <v>50.842964289999998</v>
      </c>
      <c r="R225">
        <f t="shared" si="68"/>
        <v>195.70793868364828</v>
      </c>
      <c r="S225">
        <f t="shared" si="69"/>
        <v>203.41738701190451</v>
      </c>
      <c r="T225">
        <f t="shared" si="70"/>
        <v>187.99849035539208</v>
      </c>
      <c r="U225">
        <f t="shared" si="71"/>
        <v>7.7094483282562294</v>
      </c>
      <c r="V225">
        <f t="shared" si="72"/>
        <v>7.709448328256201</v>
      </c>
      <c r="W225">
        <f t="shared" si="73"/>
        <v>7.7094483282562152</v>
      </c>
    </row>
    <row r="226" spans="1:293">
      <c r="A226" s="9"/>
      <c r="B226" s="4">
        <v>2030</v>
      </c>
      <c r="C226" s="4">
        <v>65</v>
      </c>
      <c r="D226" s="4">
        <v>3.0295999999999998</v>
      </c>
      <c r="E226" s="4">
        <v>0.12659999999999999</v>
      </c>
      <c r="F226" s="4"/>
      <c r="G226" s="4"/>
      <c r="H226" s="4"/>
      <c r="I226" s="4"/>
      <c r="J226" s="4"/>
      <c r="K226" s="3">
        <v>300</v>
      </c>
      <c r="L226" s="3">
        <v>10</v>
      </c>
      <c r="M226" s="3">
        <f t="shared" si="74"/>
        <v>5.4054054054054053</v>
      </c>
      <c r="N226" s="15">
        <v>1</v>
      </c>
      <c r="O226">
        <f t="shared" si="75"/>
        <v>0.90317746530314091</v>
      </c>
      <c r="P226">
        <f t="shared" si="62"/>
        <v>1.1072021152170373</v>
      </c>
      <c r="Q226" s="7">
        <v>59.082076579999999</v>
      </c>
      <c r="R226">
        <f t="shared" si="68"/>
        <v>218.03466933699983</v>
      </c>
      <c r="S226">
        <f t="shared" si="69"/>
        <v>227.14583554312082</v>
      </c>
      <c r="T226">
        <f t="shared" si="70"/>
        <v>208.92350313087883</v>
      </c>
      <c r="U226">
        <f t="shared" si="71"/>
        <v>9.1111662061209984</v>
      </c>
      <c r="V226">
        <f t="shared" si="72"/>
        <v>9.1111662061209984</v>
      </c>
      <c r="W226">
        <f t="shared" si="73"/>
        <v>9.1111662061209984</v>
      </c>
    </row>
    <row r="227" spans="1:293">
      <c r="A227" s="9"/>
      <c r="B227" s="4">
        <v>2030</v>
      </c>
      <c r="C227" s="4">
        <v>75</v>
      </c>
      <c r="D227" s="4">
        <v>2.8037999999999998</v>
      </c>
      <c r="E227" s="4">
        <v>0.12659999999999999</v>
      </c>
      <c r="F227" s="4"/>
      <c r="G227" s="4"/>
      <c r="H227" s="4"/>
      <c r="I227" s="4"/>
      <c r="J227" s="4"/>
      <c r="K227" s="3">
        <v>300</v>
      </c>
      <c r="L227" s="3">
        <v>10</v>
      </c>
      <c r="M227" s="3">
        <f t="shared" si="74"/>
        <v>5.4054054054054053</v>
      </c>
      <c r="N227" s="15">
        <v>1</v>
      </c>
      <c r="O227">
        <f t="shared" si="75"/>
        <v>0.90317746530314091</v>
      </c>
      <c r="P227">
        <f t="shared" si="62"/>
        <v>1.1072021152170373</v>
      </c>
      <c r="Q227" s="7">
        <v>67.191999589999995</v>
      </c>
      <c r="R227">
        <f t="shared" si="68"/>
        <v>232.82799679841469</v>
      </c>
      <c r="S227">
        <f t="shared" si="69"/>
        <v>243.34088088240043</v>
      </c>
      <c r="T227">
        <f t="shared" si="70"/>
        <v>222.31511271442889</v>
      </c>
      <c r="U227">
        <f t="shared" si="71"/>
        <v>10.512884083985739</v>
      </c>
      <c r="V227">
        <f t="shared" si="72"/>
        <v>10.512884083985796</v>
      </c>
      <c r="W227">
        <f t="shared" si="73"/>
        <v>10.512884083985767</v>
      </c>
    </row>
    <row r="228" spans="1:293">
      <c r="A228" s="9"/>
      <c r="B228" s="4">
        <v>2030</v>
      </c>
      <c r="C228" s="4">
        <v>85</v>
      </c>
      <c r="D228" s="4">
        <v>2.6528999999999998</v>
      </c>
      <c r="E228" s="4">
        <v>0.12659999999999999</v>
      </c>
      <c r="F228" s="4"/>
      <c r="G228" s="4"/>
      <c r="H228" s="4"/>
      <c r="I228" s="4"/>
      <c r="J228" s="4"/>
      <c r="K228" s="3">
        <v>300</v>
      </c>
      <c r="L228" s="3">
        <v>10</v>
      </c>
      <c r="M228" s="3">
        <f t="shared" si="74"/>
        <v>5.4054054054054053</v>
      </c>
      <c r="N228" s="15">
        <v>1</v>
      </c>
      <c r="O228">
        <f t="shared" si="75"/>
        <v>0.90317746530314091</v>
      </c>
      <c r="P228">
        <f t="shared" si="62"/>
        <v>1.1072021152170373</v>
      </c>
      <c r="Q228" s="7">
        <v>75.191760790000004</v>
      </c>
      <c r="R228">
        <f t="shared" si="68"/>
        <v>249.67020177403865</v>
      </c>
      <c r="S228">
        <f t="shared" si="69"/>
        <v>261.58480373588912</v>
      </c>
      <c r="T228">
        <f t="shared" si="70"/>
        <v>237.75559981218811</v>
      </c>
      <c r="U228">
        <f t="shared" si="71"/>
        <v>11.914601961850479</v>
      </c>
      <c r="V228">
        <f t="shared" si="72"/>
        <v>11.914601961850536</v>
      </c>
      <c r="W228">
        <f t="shared" si="73"/>
        <v>11.914601961850508</v>
      </c>
    </row>
    <row r="229" spans="1:293">
      <c r="A229" s="9"/>
      <c r="B229" s="4">
        <v>2030</v>
      </c>
      <c r="C229" s="4">
        <v>95</v>
      </c>
      <c r="D229" s="4">
        <v>2.5771000000000002</v>
      </c>
      <c r="E229" s="4">
        <v>0.12659999999999999</v>
      </c>
      <c r="F229" s="4"/>
      <c r="G229" s="4"/>
      <c r="H229" s="4"/>
      <c r="I229" s="4"/>
      <c r="J229" s="4"/>
      <c r="K229" s="3">
        <v>300</v>
      </c>
      <c r="L229" s="3">
        <v>10</v>
      </c>
      <c r="M229" s="3">
        <f t="shared" si="74"/>
        <v>5.4054054054054053</v>
      </c>
      <c r="N229" s="15">
        <v>1</v>
      </c>
      <c r="O229">
        <f t="shared" si="75"/>
        <v>0.90317746530314091</v>
      </c>
      <c r="P229">
        <f t="shared" si="62"/>
        <v>1.1072021152170373</v>
      </c>
      <c r="Q229" s="7">
        <v>83.095661190000001</v>
      </c>
      <c r="R229">
        <f t="shared" si="68"/>
        <v>271.07020425695356</v>
      </c>
      <c r="S229">
        <f t="shared" si="69"/>
        <v>284.38652409666884</v>
      </c>
      <c r="T229">
        <f t="shared" si="70"/>
        <v>257.75388441723828</v>
      </c>
      <c r="U229">
        <f t="shared" si="71"/>
        <v>13.316319839715277</v>
      </c>
      <c r="V229">
        <f t="shared" si="72"/>
        <v>13.316319839715277</v>
      </c>
      <c r="W229">
        <f t="shared" si="73"/>
        <v>13.316319839715277</v>
      </c>
    </row>
    <row r="230" spans="1:293">
      <c r="A230" s="9"/>
      <c r="B230" s="4">
        <v>2030</v>
      </c>
      <c r="C230" s="4">
        <v>105</v>
      </c>
      <c r="D230" s="4">
        <v>2.3929</v>
      </c>
      <c r="E230" s="4">
        <v>0.12659999999999999</v>
      </c>
      <c r="F230" s="4"/>
      <c r="G230" s="4"/>
      <c r="H230" s="4"/>
      <c r="I230" s="4"/>
      <c r="J230" s="4"/>
      <c r="K230" s="3">
        <v>300</v>
      </c>
      <c r="L230" s="3">
        <v>10</v>
      </c>
      <c r="M230" s="3">
        <f t="shared" si="74"/>
        <v>5.4054054054054053</v>
      </c>
      <c r="N230" s="15">
        <v>1</v>
      </c>
      <c r="O230">
        <f t="shared" si="75"/>
        <v>0.90317746530314091</v>
      </c>
      <c r="P230">
        <f t="shared" si="62"/>
        <v>1.1072021152170373</v>
      </c>
      <c r="Q230" s="7">
        <v>90.914827759999994</v>
      </c>
      <c r="R230">
        <f t="shared" si="68"/>
        <v>278.18951385779911</v>
      </c>
      <c r="S230">
        <f t="shared" si="69"/>
        <v>292.9075515753791</v>
      </c>
      <c r="T230">
        <f t="shared" si="70"/>
        <v>263.47147614021907</v>
      </c>
      <c r="U230">
        <f t="shared" si="71"/>
        <v>14.718037717579989</v>
      </c>
      <c r="V230">
        <f t="shared" si="72"/>
        <v>14.718037717580046</v>
      </c>
      <c r="W230">
        <f t="shared" si="73"/>
        <v>14.718037717580017</v>
      </c>
    </row>
    <row r="231" spans="1:293">
      <c r="A231" s="9"/>
      <c r="B231" s="4">
        <v>2030</v>
      </c>
      <c r="C231" s="4">
        <v>115</v>
      </c>
      <c r="D231" s="4">
        <v>2.1838000000000002</v>
      </c>
      <c r="E231" s="4">
        <v>0.12659999999999999</v>
      </c>
      <c r="F231" s="4"/>
      <c r="G231" s="4"/>
      <c r="H231" s="4"/>
      <c r="I231" s="4"/>
      <c r="J231" s="4"/>
      <c r="K231" s="3">
        <v>300</v>
      </c>
      <c r="L231" s="3">
        <v>10</v>
      </c>
      <c r="M231" s="3">
        <f t="shared" si="74"/>
        <v>5.4054054054054053</v>
      </c>
      <c r="N231" s="15">
        <v>1</v>
      </c>
      <c r="O231">
        <f t="shared" si="75"/>
        <v>0.90317746530314091</v>
      </c>
      <c r="P231">
        <f t="shared" si="62"/>
        <v>1.1072021152170373</v>
      </c>
      <c r="Q231" s="7">
        <v>98.658155179999994</v>
      </c>
      <c r="R231">
        <f t="shared" si="68"/>
        <v>278.05941760926112</v>
      </c>
      <c r="S231">
        <f t="shared" si="69"/>
        <v>294.17917320470599</v>
      </c>
      <c r="T231">
        <f t="shared" si="70"/>
        <v>261.9396620138163</v>
      </c>
      <c r="U231">
        <f t="shared" si="71"/>
        <v>16.119755595444872</v>
      </c>
      <c r="V231">
        <f t="shared" si="72"/>
        <v>16.119755595444815</v>
      </c>
      <c r="W231">
        <f t="shared" si="73"/>
        <v>16.119755595444843</v>
      </c>
    </row>
    <row r="232" spans="1:293" s="20" customFormat="1">
      <c r="A232" s="27" t="s">
        <v>11</v>
      </c>
      <c r="B232" s="28">
        <v>3400</v>
      </c>
      <c r="C232" s="28">
        <v>4</v>
      </c>
      <c r="D232" s="28">
        <v>5.4780199999999999</v>
      </c>
      <c r="E232" s="29">
        <v>1.2330000000000001</v>
      </c>
      <c r="F232" s="19"/>
      <c r="G232" s="19"/>
      <c r="H232" s="32">
        <v>0.06</v>
      </c>
      <c r="I232" s="32">
        <v>0.06</v>
      </c>
      <c r="J232" s="19">
        <f>0.015*C232</f>
        <v>0.06</v>
      </c>
      <c r="K232" s="19">
        <v>200</v>
      </c>
      <c r="L232" s="19">
        <v>6.8</v>
      </c>
      <c r="M232" s="19">
        <f>L232/1.85</f>
        <v>3.6756756756756754</v>
      </c>
      <c r="N232" s="19">
        <v>0.66785186200000002</v>
      </c>
      <c r="O232" s="20">
        <f t="shared" si="75"/>
        <v>0.58197319941563153</v>
      </c>
      <c r="P232" s="20">
        <f t="shared" si="62"/>
        <v>1.1475646347127335</v>
      </c>
      <c r="Q232" s="21">
        <v>3.0657217939999999</v>
      </c>
      <c r="R232" s="20">
        <f t="shared" si="68"/>
        <v>25.145528080996193</v>
      </c>
      <c r="S232" s="20">
        <f t="shared" si="69"/>
        <v>30.805316859399394</v>
      </c>
      <c r="T232" s="20">
        <f t="shared" si="70"/>
        <v>19.485739302592993</v>
      </c>
      <c r="U232">
        <f t="shared" si="71"/>
        <v>5.6597887784032004</v>
      </c>
      <c r="V232">
        <f t="shared" si="72"/>
        <v>5.6597887784032004</v>
      </c>
      <c r="W232">
        <f t="shared" si="73"/>
        <v>5.6597887784032004</v>
      </c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  <c r="GE232" s="33"/>
      <c r="GF232" s="33"/>
      <c r="GG232" s="33"/>
      <c r="GH232" s="33"/>
      <c r="GI232" s="33"/>
      <c r="GJ232" s="33"/>
      <c r="GK232" s="33"/>
      <c r="GL232" s="33"/>
      <c r="GM232" s="33"/>
      <c r="GN232" s="33"/>
      <c r="GO232" s="33"/>
      <c r="GP232" s="33"/>
      <c r="GQ232" s="33"/>
      <c r="GR232" s="33"/>
      <c r="GS232" s="33"/>
      <c r="GT232" s="33"/>
      <c r="GU232" s="33"/>
      <c r="GV232" s="33"/>
      <c r="GW232" s="33"/>
      <c r="GX232" s="33"/>
      <c r="GY232" s="33"/>
      <c r="GZ232" s="33"/>
      <c r="HA232" s="33"/>
      <c r="HB232" s="33"/>
      <c r="HC232" s="33"/>
      <c r="HD232" s="33"/>
      <c r="HE232" s="33"/>
      <c r="HF232" s="33"/>
      <c r="HG232" s="33"/>
      <c r="HH232" s="33"/>
      <c r="HI232" s="33"/>
      <c r="HJ232" s="33"/>
      <c r="HK232" s="33"/>
      <c r="HL232" s="33"/>
      <c r="HM232" s="33"/>
      <c r="HN232" s="33"/>
      <c r="HO232" s="33"/>
      <c r="HP232" s="33"/>
      <c r="HQ232" s="33"/>
      <c r="HR232" s="33"/>
      <c r="HS232" s="33"/>
      <c r="HT232" s="33"/>
      <c r="HU232" s="33"/>
      <c r="HV232" s="33"/>
      <c r="HW232" s="33"/>
      <c r="HX232" s="33"/>
      <c r="HY232" s="33"/>
      <c r="HZ232" s="33"/>
      <c r="IA232" s="33"/>
      <c r="IB232" s="33"/>
      <c r="IC232" s="33"/>
      <c r="ID232" s="33"/>
      <c r="IE232" s="33"/>
      <c r="IF232" s="33"/>
      <c r="IG232" s="33"/>
      <c r="IH232" s="33"/>
      <c r="II232" s="33"/>
      <c r="IJ232" s="33"/>
      <c r="IK232" s="33"/>
      <c r="IL232" s="33"/>
      <c r="IM232" s="33"/>
      <c r="IN232" s="33"/>
      <c r="IO232" s="33"/>
      <c r="IP232" s="33"/>
      <c r="IQ232" s="33"/>
      <c r="IR232" s="33"/>
      <c r="IS232" s="33"/>
      <c r="IT232" s="33"/>
      <c r="IU232" s="33"/>
      <c r="IV232" s="33"/>
      <c r="IW232" s="33"/>
      <c r="IX232" s="33"/>
      <c r="IY232" s="33"/>
      <c r="IZ232" s="33"/>
      <c r="JA232" s="33"/>
      <c r="JB232" s="33"/>
      <c r="JC232" s="33"/>
      <c r="JD232" s="33"/>
      <c r="JE232" s="33"/>
      <c r="JF232" s="33"/>
      <c r="JG232" s="33"/>
      <c r="JH232" s="33"/>
      <c r="JI232" s="33"/>
      <c r="JJ232" s="33"/>
      <c r="JK232" s="33"/>
      <c r="JL232" s="33"/>
      <c r="JM232" s="33"/>
      <c r="JN232" s="33"/>
      <c r="JO232" s="33"/>
      <c r="JP232" s="33"/>
      <c r="JQ232" s="33"/>
      <c r="JR232" s="33"/>
      <c r="JS232" s="33"/>
      <c r="JT232" s="33"/>
      <c r="JU232" s="33"/>
      <c r="JV232" s="33"/>
      <c r="JW232" s="33"/>
      <c r="JX232" s="33"/>
      <c r="JY232" s="33"/>
      <c r="JZ232" s="33"/>
      <c r="KA232" s="33"/>
      <c r="KB232" s="33"/>
      <c r="KC232" s="33"/>
      <c r="KD232" s="33"/>
      <c r="KE232" s="33"/>
      <c r="KF232" s="33"/>
      <c r="KG232" s="33"/>
    </row>
    <row r="233" spans="1:293" s="20" customFormat="1">
      <c r="A233" s="65" t="s">
        <v>78</v>
      </c>
      <c r="B233" s="28">
        <v>3400</v>
      </c>
      <c r="C233" s="28">
        <v>4.30708</v>
      </c>
      <c r="D233" s="28">
        <v>5.36477</v>
      </c>
      <c r="E233" s="29">
        <v>1.1279999999999999</v>
      </c>
      <c r="F233" s="19"/>
      <c r="G233" s="19"/>
      <c r="H233" s="32">
        <v>6.4606200000000003E-2</v>
      </c>
      <c r="I233" s="32">
        <v>6.4606200000000003E-2</v>
      </c>
      <c r="J233" s="19">
        <f t="shared" ref="J233:J281" si="76">0.015*C233</f>
        <v>6.4606200000000003E-2</v>
      </c>
      <c r="K233" s="19">
        <v>200</v>
      </c>
      <c r="L233" s="19">
        <v>6.8</v>
      </c>
      <c r="M233" s="19">
        <f t="shared" ref="M233:M296" si="77">L233/1.85</f>
        <v>3.6756756756756754</v>
      </c>
      <c r="N233" s="19">
        <v>0.66785186200000002</v>
      </c>
      <c r="O233" s="20">
        <f t="shared" si="75"/>
        <v>0.58197319941563153</v>
      </c>
      <c r="P233" s="20">
        <f t="shared" si="62"/>
        <v>1.1475646347127335</v>
      </c>
      <c r="Q233" s="21">
        <v>3.3584075979999999</v>
      </c>
      <c r="R233" s="20">
        <f t="shared" si="68"/>
        <v>26.51619485498528</v>
      </c>
      <c r="S233" s="20">
        <f t="shared" si="69"/>
        <v>32.091507085784251</v>
      </c>
      <c r="T233" s="20">
        <f t="shared" si="70"/>
        <v>20.940882624186308</v>
      </c>
      <c r="U233">
        <f t="shared" si="71"/>
        <v>5.5753122307989713</v>
      </c>
      <c r="V233">
        <f t="shared" si="72"/>
        <v>5.5753122307989713</v>
      </c>
      <c r="W233">
        <f t="shared" si="73"/>
        <v>5.5753122307989713</v>
      </c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  <c r="GE233" s="33"/>
      <c r="GF233" s="33"/>
      <c r="GG233" s="33"/>
      <c r="GH233" s="33"/>
      <c r="GI233" s="33"/>
      <c r="GJ233" s="33"/>
      <c r="GK233" s="33"/>
      <c r="GL233" s="33"/>
      <c r="GM233" s="33"/>
      <c r="GN233" s="33"/>
      <c r="GO233" s="33"/>
      <c r="GP233" s="33"/>
      <c r="GQ233" s="33"/>
      <c r="GR233" s="33"/>
      <c r="GS233" s="33"/>
      <c r="GT233" s="33"/>
      <c r="GU233" s="33"/>
      <c r="GV233" s="33"/>
      <c r="GW233" s="33"/>
      <c r="GX233" s="33"/>
      <c r="GY233" s="33"/>
      <c r="GZ233" s="33"/>
      <c r="HA233" s="33"/>
      <c r="HB233" s="33"/>
      <c r="HC233" s="33"/>
      <c r="HD233" s="33"/>
      <c r="HE233" s="33"/>
      <c r="HF233" s="33"/>
      <c r="HG233" s="33"/>
      <c r="HH233" s="33"/>
      <c r="HI233" s="33"/>
      <c r="HJ233" s="33"/>
      <c r="HK233" s="33"/>
      <c r="HL233" s="33"/>
      <c r="HM233" s="33"/>
      <c r="HN233" s="33"/>
      <c r="HO233" s="33"/>
      <c r="HP233" s="33"/>
      <c r="HQ233" s="33"/>
      <c r="HR233" s="33"/>
      <c r="HS233" s="33"/>
      <c r="HT233" s="33"/>
      <c r="HU233" s="33"/>
      <c r="HV233" s="33"/>
      <c r="HW233" s="33"/>
      <c r="HX233" s="33"/>
      <c r="HY233" s="33"/>
      <c r="HZ233" s="33"/>
      <c r="IA233" s="33"/>
      <c r="IB233" s="33"/>
      <c r="IC233" s="33"/>
      <c r="ID233" s="33"/>
      <c r="IE233" s="33"/>
      <c r="IF233" s="33"/>
      <c r="IG233" s="33"/>
      <c r="IH233" s="33"/>
      <c r="II233" s="33"/>
      <c r="IJ233" s="33"/>
      <c r="IK233" s="33"/>
      <c r="IL233" s="33"/>
      <c r="IM233" s="33"/>
      <c r="IN233" s="33"/>
      <c r="IO233" s="33"/>
      <c r="IP233" s="33"/>
      <c r="IQ233" s="33"/>
      <c r="IR233" s="33"/>
      <c r="IS233" s="33"/>
      <c r="IT233" s="33"/>
      <c r="IU233" s="33"/>
      <c r="IV233" s="33"/>
      <c r="IW233" s="33"/>
      <c r="IX233" s="33"/>
      <c r="IY233" s="33"/>
      <c r="IZ233" s="33"/>
      <c r="JA233" s="33"/>
      <c r="JB233" s="33"/>
      <c r="JC233" s="33"/>
      <c r="JD233" s="33"/>
      <c r="JE233" s="33"/>
      <c r="JF233" s="33"/>
      <c r="JG233" s="33"/>
      <c r="JH233" s="33"/>
      <c r="JI233" s="33"/>
      <c r="JJ233" s="33"/>
      <c r="JK233" s="33"/>
      <c r="JL233" s="33"/>
      <c r="JM233" s="33"/>
      <c r="JN233" s="33"/>
      <c r="JO233" s="33"/>
      <c r="JP233" s="33"/>
      <c r="JQ233" s="33"/>
      <c r="JR233" s="33"/>
      <c r="JS233" s="33"/>
      <c r="JT233" s="33"/>
      <c r="JU233" s="33"/>
      <c r="JV233" s="33"/>
      <c r="JW233" s="33"/>
      <c r="JX233" s="33"/>
      <c r="JY233" s="33"/>
      <c r="JZ233" s="33"/>
      <c r="KA233" s="33"/>
      <c r="KB233" s="33"/>
      <c r="KC233" s="33"/>
      <c r="KD233" s="33"/>
      <c r="KE233" s="33"/>
      <c r="KF233" s="33"/>
      <c r="KG233" s="33"/>
    </row>
    <row r="234" spans="1:293" s="20" customFormat="1">
      <c r="A234" s="25"/>
      <c r="B234" s="28">
        <v>3400</v>
      </c>
      <c r="C234" s="28">
        <v>4.63774</v>
      </c>
      <c r="D234" s="28">
        <v>5.2587200000000003</v>
      </c>
      <c r="E234" s="29">
        <v>1.0329999999999999</v>
      </c>
      <c r="F234" s="19"/>
      <c r="G234" s="19"/>
      <c r="H234" s="32">
        <v>6.9566100000000006E-2</v>
      </c>
      <c r="I234" s="32">
        <v>6.9566100000000006E-2</v>
      </c>
      <c r="J234" s="19">
        <f t="shared" si="76"/>
        <v>6.9566099999999992E-2</v>
      </c>
      <c r="K234" s="19">
        <v>200</v>
      </c>
      <c r="L234" s="19">
        <v>6.8</v>
      </c>
      <c r="M234" s="19">
        <f t="shared" si="77"/>
        <v>3.6756756756756754</v>
      </c>
      <c r="N234" s="19">
        <v>0.66785186200000002</v>
      </c>
      <c r="O234" s="20">
        <f t="shared" si="75"/>
        <v>0.58197319941563153</v>
      </c>
      <c r="P234" s="20">
        <f t="shared" si="62"/>
        <v>1.1475646347127335</v>
      </c>
      <c r="Q234" s="21">
        <v>3.6899544620000002</v>
      </c>
      <c r="R234" s="20">
        <f t="shared" si="68"/>
        <v>27.98746741509774</v>
      </c>
      <c r="S234" s="20">
        <f t="shared" si="69"/>
        <v>33.48520333558713</v>
      </c>
      <c r="T234" s="20">
        <f t="shared" si="70"/>
        <v>22.48973149460835</v>
      </c>
      <c r="U234">
        <f t="shared" si="71"/>
        <v>5.4977359204893901</v>
      </c>
      <c r="V234">
        <f t="shared" si="72"/>
        <v>5.4977359204893901</v>
      </c>
      <c r="W234">
        <f t="shared" si="73"/>
        <v>5.4977359204893901</v>
      </c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  <c r="GE234" s="33"/>
      <c r="GF234" s="33"/>
      <c r="GG234" s="33"/>
      <c r="GH234" s="33"/>
      <c r="GI234" s="33"/>
      <c r="GJ234" s="33"/>
      <c r="GK234" s="33"/>
      <c r="GL234" s="33"/>
      <c r="GM234" s="33"/>
      <c r="GN234" s="33"/>
      <c r="GO234" s="33"/>
      <c r="GP234" s="33"/>
      <c r="GQ234" s="33"/>
      <c r="GR234" s="33"/>
      <c r="GS234" s="33"/>
      <c r="GT234" s="33"/>
      <c r="GU234" s="33"/>
      <c r="GV234" s="33"/>
      <c r="GW234" s="33"/>
      <c r="GX234" s="33"/>
      <c r="GY234" s="33"/>
      <c r="GZ234" s="33"/>
      <c r="HA234" s="33"/>
      <c r="HB234" s="33"/>
      <c r="HC234" s="33"/>
      <c r="HD234" s="33"/>
      <c r="HE234" s="33"/>
      <c r="HF234" s="33"/>
      <c r="HG234" s="33"/>
      <c r="HH234" s="33"/>
      <c r="HI234" s="33"/>
      <c r="HJ234" s="33"/>
      <c r="HK234" s="33"/>
      <c r="HL234" s="33"/>
      <c r="HM234" s="33"/>
      <c r="HN234" s="33"/>
      <c r="HO234" s="33"/>
      <c r="HP234" s="33"/>
      <c r="HQ234" s="33"/>
      <c r="HR234" s="33"/>
      <c r="HS234" s="33"/>
      <c r="HT234" s="33"/>
      <c r="HU234" s="33"/>
      <c r="HV234" s="33"/>
      <c r="HW234" s="33"/>
      <c r="HX234" s="33"/>
      <c r="HY234" s="33"/>
      <c r="HZ234" s="33"/>
      <c r="IA234" s="33"/>
      <c r="IB234" s="33"/>
      <c r="IC234" s="33"/>
      <c r="ID234" s="33"/>
      <c r="IE234" s="33"/>
      <c r="IF234" s="33"/>
      <c r="IG234" s="33"/>
      <c r="IH234" s="33"/>
      <c r="II234" s="33"/>
      <c r="IJ234" s="33"/>
      <c r="IK234" s="33"/>
      <c r="IL234" s="33"/>
      <c r="IM234" s="33"/>
      <c r="IN234" s="33"/>
      <c r="IO234" s="33"/>
      <c r="IP234" s="33"/>
      <c r="IQ234" s="33"/>
      <c r="IR234" s="33"/>
      <c r="IS234" s="33"/>
      <c r="IT234" s="33"/>
      <c r="IU234" s="33"/>
      <c r="IV234" s="33"/>
      <c r="IW234" s="33"/>
      <c r="IX234" s="33"/>
      <c r="IY234" s="33"/>
      <c r="IZ234" s="33"/>
      <c r="JA234" s="33"/>
      <c r="JB234" s="33"/>
      <c r="JC234" s="33"/>
      <c r="JD234" s="33"/>
      <c r="JE234" s="33"/>
      <c r="JF234" s="33"/>
      <c r="JG234" s="33"/>
      <c r="JH234" s="33"/>
      <c r="JI234" s="33"/>
      <c r="JJ234" s="33"/>
      <c r="JK234" s="33"/>
      <c r="JL234" s="33"/>
      <c r="JM234" s="33"/>
      <c r="JN234" s="33"/>
      <c r="JO234" s="33"/>
      <c r="JP234" s="33"/>
      <c r="JQ234" s="33"/>
      <c r="JR234" s="33"/>
      <c r="JS234" s="33"/>
      <c r="JT234" s="33"/>
      <c r="JU234" s="33"/>
      <c r="JV234" s="33"/>
      <c r="JW234" s="33"/>
      <c r="JX234" s="33"/>
      <c r="JY234" s="33"/>
      <c r="JZ234" s="33"/>
      <c r="KA234" s="33"/>
      <c r="KB234" s="33"/>
      <c r="KC234" s="33"/>
      <c r="KD234" s="33"/>
      <c r="KE234" s="33"/>
      <c r="KF234" s="33"/>
      <c r="KG234" s="33"/>
    </row>
    <row r="235" spans="1:293" s="20" customFormat="1">
      <c r="A235" s="25"/>
      <c r="B235" s="28">
        <v>3400</v>
      </c>
      <c r="C235" s="28">
        <v>4.9937800000000001</v>
      </c>
      <c r="D235" s="28">
        <v>5.1617800000000003</v>
      </c>
      <c r="E235" s="29">
        <v>0.94699999999999995</v>
      </c>
      <c r="F235" s="19"/>
      <c r="G235" s="19"/>
      <c r="H235" s="32">
        <v>7.4906700000000007E-2</v>
      </c>
      <c r="I235" s="32">
        <v>7.4906700000000007E-2</v>
      </c>
      <c r="J235" s="19">
        <f t="shared" si="76"/>
        <v>7.4906699999999993E-2</v>
      </c>
      <c r="K235" s="19">
        <v>200</v>
      </c>
      <c r="L235" s="19">
        <v>6.8</v>
      </c>
      <c r="M235" s="19">
        <f t="shared" si="77"/>
        <v>3.6756756756756754</v>
      </c>
      <c r="N235" s="19">
        <v>0.66785186200000002</v>
      </c>
      <c r="O235" s="20">
        <f t="shared" si="75"/>
        <v>0.58197319941563153</v>
      </c>
      <c r="P235" s="20">
        <f t="shared" si="62"/>
        <v>1.1475646347127335</v>
      </c>
      <c r="Q235" s="21">
        <v>4.0637156360000004</v>
      </c>
      <c r="R235" s="20">
        <f t="shared" si="68"/>
        <v>29.580536878996828</v>
      </c>
      <c r="S235" s="20">
        <f t="shared" si="69"/>
        <v>35.007495878491191</v>
      </c>
      <c r="T235" s="20">
        <f t="shared" si="70"/>
        <v>24.153577879502471</v>
      </c>
      <c r="U235">
        <f t="shared" si="71"/>
        <v>5.4269589994943637</v>
      </c>
      <c r="V235">
        <f t="shared" si="72"/>
        <v>5.4269589994943566</v>
      </c>
      <c r="W235">
        <f t="shared" si="73"/>
        <v>5.4269589994943601</v>
      </c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  <c r="GE235" s="33"/>
      <c r="GF235" s="33"/>
      <c r="GG235" s="33"/>
      <c r="GH235" s="33"/>
      <c r="GI235" s="33"/>
      <c r="GJ235" s="33"/>
      <c r="GK235" s="33"/>
      <c r="GL235" s="33"/>
      <c r="GM235" s="33"/>
      <c r="GN235" s="33"/>
      <c r="GO235" s="33"/>
      <c r="GP235" s="33"/>
      <c r="GQ235" s="33"/>
      <c r="GR235" s="33"/>
      <c r="GS235" s="33"/>
      <c r="GT235" s="33"/>
      <c r="GU235" s="33"/>
      <c r="GV235" s="33"/>
      <c r="GW235" s="33"/>
      <c r="GX235" s="33"/>
      <c r="GY235" s="33"/>
      <c r="GZ235" s="33"/>
      <c r="HA235" s="33"/>
      <c r="HB235" s="33"/>
      <c r="HC235" s="33"/>
      <c r="HD235" s="33"/>
      <c r="HE235" s="33"/>
      <c r="HF235" s="33"/>
      <c r="HG235" s="33"/>
      <c r="HH235" s="33"/>
      <c r="HI235" s="33"/>
      <c r="HJ235" s="33"/>
      <c r="HK235" s="33"/>
      <c r="HL235" s="33"/>
      <c r="HM235" s="33"/>
      <c r="HN235" s="33"/>
      <c r="HO235" s="33"/>
      <c r="HP235" s="33"/>
      <c r="HQ235" s="33"/>
      <c r="HR235" s="33"/>
      <c r="HS235" s="33"/>
      <c r="HT235" s="33"/>
      <c r="HU235" s="33"/>
      <c r="HV235" s="33"/>
      <c r="HW235" s="33"/>
      <c r="HX235" s="33"/>
      <c r="HY235" s="33"/>
      <c r="HZ235" s="33"/>
      <c r="IA235" s="33"/>
      <c r="IB235" s="33"/>
      <c r="IC235" s="33"/>
      <c r="ID235" s="33"/>
      <c r="IE235" s="33"/>
      <c r="IF235" s="33"/>
      <c r="IG235" s="33"/>
      <c r="IH235" s="33"/>
      <c r="II235" s="33"/>
      <c r="IJ235" s="33"/>
      <c r="IK235" s="33"/>
      <c r="IL235" s="33"/>
      <c r="IM235" s="33"/>
      <c r="IN235" s="33"/>
      <c r="IO235" s="33"/>
      <c r="IP235" s="33"/>
      <c r="IQ235" s="33"/>
      <c r="IR235" s="33"/>
      <c r="IS235" s="33"/>
      <c r="IT235" s="33"/>
      <c r="IU235" s="33"/>
      <c r="IV235" s="33"/>
      <c r="IW235" s="33"/>
      <c r="IX235" s="33"/>
      <c r="IY235" s="33"/>
      <c r="IZ235" s="33"/>
      <c r="JA235" s="33"/>
      <c r="JB235" s="33"/>
      <c r="JC235" s="33"/>
      <c r="JD235" s="33"/>
      <c r="JE235" s="33"/>
      <c r="JF235" s="33"/>
      <c r="JG235" s="33"/>
      <c r="JH235" s="33"/>
      <c r="JI235" s="33"/>
      <c r="JJ235" s="33"/>
      <c r="JK235" s="33"/>
      <c r="JL235" s="33"/>
      <c r="JM235" s="33"/>
      <c r="JN235" s="33"/>
      <c r="JO235" s="33"/>
      <c r="JP235" s="33"/>
      <c r="JQ235" s="33"/>
      <c r="JR235" s="33"/>
      <c r="JS235" s="33"/>
      <c r="JT235" s="33"/>
      <c r="JU235" s="33"/>
      <c r="JV235" s="33"/>
      <c r="JW235" s="33"/>
      <c r="JX235" s="33"/>
      <c r="JY235" s="33"/>
      <c r="JZ235" s="33"/>
      <c r="KA235" s="33"/>
      <c r="KB235" s="33"/>
      <c r="KC235" s="33"/>
      <c r="KD235" s="33"/>
      <c r="KE235" s="33"/>
      <c r="KF235" s="33"/>
      <c r="KG235" s="33"/>
    </row>
    <row r="236" spans="1:293" s="20" customFormat="1">
      <c r="A236" s="25"/>
      <c r="B236" s="28">
        <v>3400</v>
      </c>
      <c r="C236" s="28">
        <v>5.3771500000000003</v>
      </c>
      <c r="D236" s="28">
        <v>5.0759800000000004</v>
      </c>
      <c r="E236" s="29">
        <v>0.87</v>
      </c>
      <c r="F236" s="19"/>
      <c r="G236" s="19"/>
      <c r="H236" s="32">
        <v>8.065725E-2</v>
      </c>
      <c r="I236" s="32">
        <v>8.065725E-2</v>
      </c>
      <c r="J236" s="19">
        <f t="shared" si="76"/>
        <v>8.065725E-2</v>
      </c>
      <c r="K236" s="19">
        <v>200</v>
      </c>
      <c r="L236" s="19">
        <v>6.8</v>
      </c>
      <c r="M236" s="19">
        <f t="shared" si="77"/>
        <v>3.6756756756756754</v>
      </c>
      <c r="N236" s="19">
        <v>0.66785186200000002</v>
      </c>
      <c r="O236" s="20">
        <f t="shared" si="75"/>
        <v>0.58197319941563153</v>
      </c>
      <c r="P236" s="20">
        <f t="shared" si="62"/>
        <v>1.1475646347127335</v>
      </c>
      <c r="Q236" s="21">
        <v>4.4819859129999999</v>
      </c>
      <c r="R236" s="20">
        <f t="shared" si="68"/>
        <v>31.321980130525834</v>
      </c>
      <c r="S236" s="20">
        <f t="shared" si="69"/>
        <v>36.690425773250482</v>
      </c>
      <c r="T236" s="20">
        <f t="shared" si="70"/>
        <v>25.953534487801182</v>
      </c>
      <c r="U236">
        <f t="shared" si="71"/>
        <v>5.3684456427246481</v>
      </c>
      <c r="V236">
        <f t="shared" si="72"/>
        <v>5.3684456427246516</v>
      </c>
      <c r="W236">
        <f t="shared" si="73"/>
        <v>5.3684456427246499</v>
      </c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  <c r="GE236" s="33"/>
      <c r="GF236" s="33"/>
      <c r="GG236" s="33"/>
      <c r="GH236" s="33"/>
      <c r="GI236" s="33"/>
      <c r="GJ236" s="33"/>
      <c r="GK236" s="33"/>
      <c r="GL236" s="33"/>
      <c r="GM236" s="33"/>
      <c r="GN236" s="33"/>
      <c r="GO236" s="33"/>
      <c r="GP236" s="33"/>
      <c r="GQ236" s="33"/>
      <c r="GR236" s="33"/>
      <c r="GS236" s="33"/>
      <c r="GT236" s="33"/>
      <c r="GU236" s="33"/>
      <c r="GV236" s="33"/>
      <c r="GW236" s="33"/>
      <c r="GX236" s="33"/>
      <c r="GY236" s="33"/>
      <c r="GZ236" s="33"/>
      <c r="HA236" s="33"/>
      <c r="HB236" s="33"/>
      <c r="HC236" s="33"/>
      <c r="HD236" s="33"/>
      <c r="HE236" s="33"/>
      <c r="HF236" s="33"/>
      <c r="HG236" s="33"/>
      <c r="HH236" s="33"/>
      <c r="HI236" s="33"/>
      <c r="HJ236" s="33"/>
      <c r="HK236" s="33"/>
      <c r="HL236" s="33"/>
      <c r="HM236" s="33"/>
      <c r="HN236" s="33"/>
      <c r="HO236" s="33"/>
      <c r="HP236" s="33"/>
      <c r="HQ236" s="33"/>
      <c r="HR236" s="33"/>
      <c r="HS236" s="33"/>
      <c r="HT236" s="33"/>
      <c r="HU236" s="33"/>
      <c r="HV236" s="33"/>
      <c r="HW236" s="33"/>
      <c r="HX236" s="33"/>
      <c r="HY236" s="33"/>
      <c r="HZ236" s="33"/>
      <c r="IA236" s="33"/>
      <c r="IB236" s="33"/>
      <c r="IC236" s="33"/>
      <c r="ID236" s="33"/>
      <c r="IE236" s="33"/>
      <c r="IF236" s="33"/>
      <c r="IG236" s="33"/>
      <c r="IH236" s="33"/>
      <c r="II236" s="33"/>
      <c r="IJ236" s="33"/>
      <c r="IK236" s="33"/>
      <c r="IL236" s="33"/>
      <c r="IM236" s="33"/>
      <c r="IN236" s="33"/>
      <c r="IO236" s="33"/>
      <c r="IP236" s="33"/>
      <c r="IQ236" s="33"/>
      <c r="IR236" s="33"/>
      <c r="IS236" s="33"/>
      <c r="IT236" s="33"/>
      <c r="IU236" s="33"/>
      <c r="IV236" s="33"/>
      <c r="IW236" s="33"/>
      <c r="IX236" s="33"/>
      <c r="IY236" s="33"/>
      <c r="IZ236" s="33"/>
      <c r="JA236" s="33"/>
      <c r="JB236" s="33"/>
      <c r="JC236" s="33"/>
      <c r="JD236" s="33"/>
      <c r="JE236" s="33"/>
      <c r="JF236" s="33"/>
      <c r="JG236" s="33"/>
      <c r="JH236" s="33"/>
      <c r="JI236" s="33"/>
      <c r="JJ236" s="33"/>
      <c r="JK236" s="33"/>
      <c r="JL236" s="33"/>
      <c r="JM236" s="33"/>
      <c r="JN236" s="33"/>
      <c r="JO236" s="33"/>
      <c r="JP236" s="33"/>
      <c r="JQ236" s="33"/>
      <c r="JR236" s="33"/>
      <c r="JS236" s="33"/>
      <c r="JT236" s="33"/>
      <c r="JU236" s="33"/>
      <c r="JV236" s="33"/>
      <c r="JW236" s="33"/>
      <c r="JX236" s="33"/>
      <c r="JY236" s="33"/>
      <c r="JZ236" s="33"/>
      <c r="KA236" s="33"/>
      <c r="KB236" s="33"/>
      <c r="KC236" s="33"/>
      <c r="KD236" s="33"/>
      <c r="KE236" s="33"/>
      <c r="KF236" s="33"/>
      <c r="KG236" s="33"/>
    </row>
    <row r="237" spans="1:293" s="20" customFormat="1">
      <c r="A237" s="25"/>
      <c r="B237" s="28">
        <v>3400</v>
      </c>
      <c r="C237" s="28">
        <v>5.7899599999999998</v>
      </c>
      <c r="D237" s="28">
        <v>5.0033300000000001</v>
      </c>
      <c r="E237" s="29">
        <v>0.80100000000000005</v>
      </c>
      <c r="F237" s="19"/>
      <c r="G237" s="19"/>
      <c r="H237" s="32">
        <v>8.6849399999999993E-2</v>
      </c>
      <c r="I237" s="32">
        <v>8.6849399999999993E-2</v>
      </c>
      <c r="J237" s="19">
        <f t="shared" si="76"/>
        <v>8.6849399999999993E-2</v>
      </c>
      <c r="K237" s="19">
        <v>200</v>
      </c>
      <c r="L237" s="19">
        <v>6.8</v>
      </c>
      <c r="M237" s="19">
        <f t="shared" si="77"/>
        <v>3.6756756756756754</v>
      </c>
      <c r="N237" s="19">
        <v>0.66785186200000002</v>
      </c>
      <c r="O237" s="20">
        <f t="shared" si="75"/>
        <v>0.58197319941563153</v>
      </c>
      <c r="P237" s="20">
        <f t="shared" si="62"/>
        <v>1.1475646347127335</v>
      </c>
      <c r="Q237" s="21">
        <v>4.9452145099999996</v>
      </c>
      <c r="R237" s="20">
        <f t="shared" si="68"/>
        <v>33.243892358603588</v>
      </c>
      <c r="S237" s="20">
        <f t="shared" si="69"/>
        <v>38.56601937785706</v>
      </c>
      <c r="T237" s="20">
        <f t="shared" si="70"/>
        <v>27.921765339350113</v>
      </c>
      <c r="U237">
        <f t="shared" si="71"/>
        <v>5.3221270192534718</v>
      </c>
      <c r="V237">
        <f t="shared" si="72"/>
        <v>5.3221270192534753</v>
      </c>
      <c r="W237">
        <f t="shared" si="73"/>
        <v>5.3221270192534735</v>
      </c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  <c r="GE237" s="33"/>
      <c r="GF237" s="33"/>
      <c r="GG237" s="33"/>
      <c r="GH237" s="33"/>
      <c r="GI237" s="33"/>
      <c r="GJ237" s="33"/>
      <c r="GK237" s="33"/>
      <c r="GL237" s="33"/>
      <c r="GM237" s="33"/>
      <c r="GN237" s="33"/>
      <c r="GO237" s="33"/>
      <c r="GP237" s="33"/>
      <c r="GQ237" s="33"/>
      <c r="GR237" s="33"/>
      <c r="GS237" s="33"/>
      <c r="GT237" s="33"/>
      <c r="GU237" s="33"/>
      <c r="GV237" s="33"/>
      <c r="GW237" s="33"/>
      <c r="GX237" s="33"/>
      <c r="GY237" s="33"/>
      <c r="GZ237" s="33"/>
      <c r="HA237" s="33"/>
      <c r="HB237" s="33"/>
      <c r="HC237" s="33"/>
      <c r="HD237" s="33"/>
      <c r="HE237" s="33"/>
      <c r="HF237" s="33"/>
      <c r="HG237" s="33"/>
      <c r="HH237" s="33"/>
      <c r="HI237" s="33"/>
      <c r="HJ237" s="33"/>
      <c r="HK237" s="33"/>
      <c r="HL237" s="33"/>
      <c r="HM237" s="33"/>
      <c r="HN237" s="33"/>
      <c r="HO237" s="33"/>
      <c r="HP237" s="33"/>
      <c r="HQ237" s="33"/>
      <c r="HR237" s="33"/>
      <c r="HS237" s="33"/>
      <c r="HT237" s="33"/>
      <c r="HU237" s="33"/>
      <c r="HV237" s="33"/>
      <c r="HW237" s="33"/>
      <c r="HX237" s="33"/>
      <c r="HY237" s="33"/>
      <c r="HZ237" s="33"/>
      <c r="IA237" s="33"/>
      <c r="IB237" s="33"/>
      <c r="IC237" s="33"/>
      <c r="ID237" s="33"/>
      <c r="IE237" s="33"/>
      <c r="IF237" s="33"/>
      <c r="IG237" s="33"/>
      <c r="IH237" s="33"/>
      <c r="II237" s="33"/>
      <c r="IJ237" s="33"/>
      <c r="IK237" s="33"/>
      <c r="IL237" s="33"/>
      <c r="IM237" s="33"/>
      <c r="IN237" s="33"/>
      <c r="IO237" s="33"/>
      <c r="IP237" s="33"/>
      <c r="IQ237" s="33"/>
      <c r="IR237" s="33"/>
      <c r="IS237" s="33"/>
      <c r="IT237" s="33"/>
      <c r="IU237" s="33"/>
      <c r="IV237" s="33"/>
      <c r="IW237" s="33"/>
      <c r="IX237" s="33"/>
      <c r="IY237" s="33"/>
      <c r="IZ237" s="33"/>
      <c r="JA237" s="33"/>
      <c r="JB237" s="33"/>
      <c r="JC237" s="33"/>
      <c r="JD237" s="33"/>
      <c r="JE237" s="33"/>
      <c r="JF237" s="33"/>
      <c r="JG237" s="33"/>
      <c r="JH237" s="33"/>
      <c r="JI237" s="33"/>
      <c r="JJ237" s="33"/>
      <c r="JK237" s="33"/>
      <c r="JL237" s="33"/>
      <c r="JM237" s="33"/>
      <c r="JN237" s="33"/>
      <c r="JO237" s="33"/>
      <c r="JP237" s="33"/>
      <c r="JQ237" s="33"/>
      <c r="JR237" s="33"/>
      <c r="JS237" s="33"/>
      <c r="JT237" s="33"/>
      <c r="JU237" s="33"/>
      <c r="JV237" s="33"/>
      <c r="JW237" s="33"/>
      <c r="JX237" s="33"/>
      <c r="JY237" s="33"/>
      <c r="JZ237" s="33"/>
      <c r="KA237" s="33"/>
      <c r="KB237" s="33"/>
      <c r="KC237" s="33"/>
      <c r="KD237" s="33"/>
      <c r="KE237" s="33"/>
      <c r="KF237" s="33"/>
      <c r="KG237" s="33"/>
    </row>
    <row r="238" spans="1:293" s="20" customFormat="1">
      <c r="A238" s="25"/>
      <c r="B238" s="28">
        <v>3400</v>
      </c>
      <c r="C238" s="28">
        <v>6.2344600000000003</v>
      </c>
      <c r="D238" s="28">
        <v>4.9457300000000002</v>
      </c>
      <c r="E238" s="29">
        <v>0.73799999999999999</v>
      </c>
      <c r="F238" s="19"/>
      <c r="G238" s="19"/>
      <c r="H238" s="32">
        <v>9.35169E-2</v>
      </c>
      <c r="I238" s="32">
        <v>9.35169E-2</v>
      </c>
      <c r="J238" s="19">
        <f t="shared" si="76"/>
        <v>9.35169E-2</v>
      </c>
      <c r="K238" s="19">
        <v>200</v>
      </c>
      <c r="L238" s="19">
        <v>6.8</v>
      </c>
      <c r="M238" s="19">
        <f t="shared" si="77"/>
        <v>3.6756756756756754</v>
      </c>
      <c r="N238" s="19">
        <v>0.66785186200000002</v>
      </c>
      <c r="O238" s="20">
        <f t="shared" si="75"/>
        <v>0.58197319941563153</v>
      </c>
      <c r="P238" s="20">
        <f t="shared" si="62"/>
        <v>1.1475646347127335</v>
      </c>
      <c r="Q238" s="21">
        <v>5.45101689</v>
      </c>
      <c r="R238" s="20">
        <f t="shared" si="68"/>
        <v>35.383957288409682</v>
      </c>
      <c r="S238" s="20">
        <f t="shared" si="69"/>
        <v>40.663938298057666</v>
      </c>
      <c r="T238" s="20">
        <f t="shared" si="70"/>
        <v>30.103976278761689</v>
      </c>
      <c r="U238">
        <f t="shared" si="71"/>
        <v>5.2799810096479831</v>
      </c>
      <c r="V238">
        <f t="shared" si="72"/>
        <v>5.2799810096479938</v>
      </c>
      <c r="W238">
        <f t="shared" si="73"/>
        <v>5.2799810096479884</v>
      </c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  <c r="GE238" s="33"/>
      <c r="GF238" s="33"/>
      <c r="GG238" s="33"/>
      <c r="GH238" s="33"/>
      <c r="GI238" s="33"/>
      <c r="GJ238" s="33"/>
      <c r="GK238" s="33"/>
      <c r="GL238" s="33"/>
      <c r="GM238" s="33"/>
      <c r="GN238" s="33"/>
      <c r="GO238" s="33"/>
      <c r="GP238" s="33"/>
      <c r="GQ238" s="33"/>
      <c r="GR238" s="33"/>
      <c r="GS238" s="33"/>
      <c r="GT238" s="33"/>
      <c r="GU238" s="33"/>
      <c r="GV238" s="33"/>
      <c r="GW238" s="33"/>
      <c r="GX238" s="33"/>
      <c r="GY238" s="33"/>
      <c r="GZ238" s="33"/>
      <c r="HA238" s="33"/>
      <c r="HB238" s="33"/>
      <c r="HC238" s="33"/>
      <c r="HD238" s="33"/>
      <c r="HE238" s="33"/>
      <c r="HF238" s="33"/>
      <c r="HG238" s="33"/>
      <c r="HH238" s="33"/>
      <c r="HI238" s="33"/>
      <c r="HJ238" s="33"/>
      <c r="HK238" s="33"/>
      <c r="HL238" s="33"/>
      <c r="HM238" s="33"/>
      <c r="HN238" s="33"/>
      <c r="HO238" s="33"/>
      <c r="HP238" s="33"/>
      <c r="HQ238" s="33"/>
      <c r="HR238" s="33"/>
      <c r="HS238" s="33"/>
      <c r="HT238" s="33"/>
      <c r="HU238" s="33"/>
      <c r="HV238" s="33"/>
      <c r="HW238" s="33"/>
      <c r="HX238" s="33"/>
      <c r="HY238" s="33"/>
      <c r="HZ238" s="33"/>
      <c r="IA238" s="33"/>
      <c r="IB238" s="33"/>
      <c r="IC238" s="33"/>
      <c r="ID238" s="33"/>
      <c r="IE238" s="33"/>
      <c r="IF238" s="33"/>
      <c r="IG238" s="33"/>
      <c r="IH238" s="33"/>
      <c r="II238" s="33"/>
      <c r="IJ238" s="33"/>
      <c r="IK238" s="33"/>
      <c r="IL238" s="33"/>
      <c r="IM238" s="33"/>
      <c r="IN238" s="33"/>
      <c r="IO238" s="33"/>
      <c r="IP238" s="33"/>
      <c r="IQ238" s="33"/>
      <c r="IR238" s="33"/>
      <c r="IS238" s="33"/>
      <c r="IT238" s="33"/>
      <c r="IU238" s="33"/>
      <c r="IV238" s="33"/>
      <c r="IW238" s="33"/>
      <c r="IX238" s="33"/>
      <c r="IY238" s="33"/>
      <c r="IZ238" s="33"/>
      <c r="JA238" s="33"/>
      <c r="JB238" s="33"/>
      <c r="JC238" s="33"/>
      <c r="JD238" s="33"/>
      <c r="JE238" s="33"/>
      <c r="JF238" s="33"/>
      <c r="JG238" s="33"/>
      <c r="JH238" s="33"/>
      <c r="JI238" s="33"/>
      <c r="JJ238" s="33"/>
      <c r="JK238" s="33"/>
      <c r="JL238" s="33"/>
      <c r="JM238" s="33"/>
      <c r="JN238" s="33"/>
      <c r="JO238" s="33"/>
      <c r="JP238" s="33"/>
      <c r="JQ238" s="33"/>
      <c r="JR238" s="33"/>
      <c r="JS238" s="33"/>
      <c r="JT238" s="33"/>
      <c r="JU238" s="33"/>
      <c r="JV238" s="33"/>
      <c r="JW238" s="33"/>
      <c r="JX238" s="33"/>
      <c r="JY238" s="33"/>
      <c r="JZ238" s="33"/>
      <c r="KA238" s="33"/>
      <c r="KB238" s="33"/>
      <c r="KC238" s="33"/>
      <c r="KD238" s="33"/>
      <c r="KE238" s="33"/>
      <c r="KF238" s="33"/>
      <c r="KG238" s="33"/>
    </row>
    <row r="239" spans="1:293" s="20" customFormat="1">
      <c r="A239" s="25"/>
      <c r="B239" s="28">
        <v>3400</v>
      </c>
      <c r="C239" s="28">
        <v>6.7130799999999997</v>
      </c>
      <c r="D239" s="28">
        <v>4.9048400000000001</v>
      </c>
      <c r="E239" s="29">
        <v>0.68300000000000005</v>
      </c>
      <c r="F239" s="19"/>
      <c r="G239" s="19"/>
      <c r="H239" s="32">
        <v>0.1006962</v>
      </c>
      <c r="I239" s="32">
        <v>0.1006962</v>
      </c>
      <c r="J239" s="19">
        <f t="shared" si="76"/>
        <v>0.10069619999999999</v>
      </c>
      <c r="K239" s="19">
        <v>200</v>
      </c>
      <c r="L239" s="19">
        <v>6.8</v>
      </c>
      <c r="M239" s="19">
        <f t="shared" si="77"/>
        <v>3.6756756756756754</v>
      </c>
      <c r="N239" s="19">
        <v>0.66785186200000002</v>
      </c>
      <c r="O239" s="20">
        <f t="shared" si="75"/>
        <v>0.58197319941563153</v>
      </c>
      <c r="P239" s="20">
        <f t="shared" si="62"/>
        <v>1.1475646347127335</v>
      </c>
      <c r="Q239" s="21">
        <v>5.9979563990000004</v>
      </c>
      <c r="R239" s="20">
        <f t="shared" si="68"/>
        <v>37.785382545265357</v>
      </c>
      <c r="S239" s="20">
        <f t="shared" si="69"/>
        <v>43.047004999497545</v>
      </c>
      <c r="T239" s="20">
        <f t="shared" si="70"/>
        <v>32.523760091033161</v>
      </c>
      <c r="U239">
        <f t="shared" si="71"/>
        <v>5.2616224542321888</v>
      </c>
      <c r="V239">
        <f t="shared" si="72"/>
        <v>5.2616224542321959</v>
      </c>
      <c r="W239">
        <f t="shared" si="73"/>
        <v>5.2616224542321923</v>
      </c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  <c r="GE239" s="33"/>
      <c r="GF239" s="33"/>
      <c r="GG239" s="33"/>
      <c r="GH239" s="33"/>
      <c r="GI239" s="33"/>
      <c r="GJ239" s="33"/>
      <c r="GK239" s="33"/>
      <c r="GL239" s="33"/>
      <c r="GM239" s="33"/>
      <c r="GN239" s="33"/>
      <c r="GO239" s="33"/>
      <c r="GP239" s="33"/>
      <c r="GQ239" s="33"/>
      <c r="GR239" s="33"/>
      <c r="GS239" s="33"/>
      <c r="GT239" s="33"/>
      <c r="GU239" s="33"/>
      <c r="GV239" s="33"/>
      <c r="GW239" s="33"/>
      <c r="GX239" s="33"/>
      <c r="GY239" s="33"/>
      <c r="GZ239" s="33"/>
      <c r="HA239" s="33"/>
      <c r="HB239" s="33"/>
      <c r="HC239" s="33"/>
      <c r="HD239" s="33"/>
      <c r="HE239" s="33"/>
      <c r="HF239" s="33"/>
      <c r="HG239" s="33"/>
      <c r="HH239" s="33"/>
      <c r="HI239" s="33"/>
      <c r="HJ239" s="33"/>
      <c r="HK239" s="33"/>
      <c r="HL239" s="33"/>
      <c r="HM239" s="33"/>
      <c r="HN239" s="33"/>
      <c r="HO239" s="33"/>
      <c r="HP239" s="33"/>
      <c r="HQ239" s="33"/>
      <c r="HR239" s="33"/>
      <c r="HS239" s="33"/>
      <c r="HT239" s="33"/>
      <c r="HU239" s="33"/>
      <c r="HV239" s="33"/>
      <c r="HW239" s="33"/>
      <c r="HX239" s="33"/>
      <c r="HY239" s="33"/>
      <c r="HZ239" s="33"/>
      <c r="IA239" s="33"/>
      <c r="IB239" s="33"/>
      <c r="IC239" s="33"/>
      <c r="ID239" s="33"/>
      <c r="IE239" s="33"/>
      <c r="IF239" s="33"/>
      <c r="IG239" s="33"/>
      <c r="IH239" s="33"/>
      <c r="II239" s="33"/>
      <c r="IJ239" s="33"/>
      <c r="IK239" s="33"/>
      <c r="IL239" s="33"/>
      <c r="IM239" s="33"/>
      <c r="IN239" s="33"/>
      <c r="IO239" s="33"/>
      <c r="IP239" s="33"/>
      <c r="IQ239" s="33"/>
      <c r="IR239" s="33"/>
      <c r="IS239" s="33"/>
      <c r="IT239" s="33"/>
      <c r="IU239" s="33"/>
      <c r="IV239" s="33"/>
      <c r="IW239" s="33"/>
      <c r="IX239" s="33"/>
      <c r="IY239" s="33"/>
      <c r="IZ239" s="33"/>
      <c r="JA239" s="33"/>
      <c r="JB239" s="33"/>
      <c r="JC239" s="33"/>
      <c r="JD239" s="33"/>
      <c r="JE239" s="33"/>
      <c r="JF239" s="33"/>
      <c r="JG239" s="33"/>
      <c r="JH239" s="33"/>
      <c r="JI239" s="33"/>
      <c r="JJ239" s="33"/>
      <c r="JK239" s="33"/>
      <c r="JL239" s="33"/>
      <c r="JM239" s="33"/>
      <c r="JN239" s="33"/>
      <c r="JO239" s="33"/>
      <c r="JP239" s="33"/>
      <c r="JQ239" s="33"/>
      <c r="JR239" s="33"/>
      <c r="JS239" s="33"/>
      <c r="JT239" s="33"/>
      <c r="JU239" s="33"/>
      <c r="JV239" s="33"/>
      <c r="JW239" s="33"/>
      <c r="JX239" s="33"/>
      <c r="JY239" s="33"/>
      <c r="JZ239" s="33"/>
      <c r="KA239" s="33"/>
      <c r="KB239" s="33"/>
      <c r="KC239" s="33"/>
      <c r="KD239" s="33"/>
      <c r="KE239" s="33"/>
      <c r="KF239" s="33"/>
      <c r="KG239" s="33"/>
    </row>
    <row r="240" spans="1:293" s="20" customFormat="1">
      <c r="A240" s="25"/>
      <c r="B240" s="28">
        <v>3400</v>
      </c>
      <c r="C240" s="28">
        <v>7.22844</v>
      </c>
      <c r="D240" s="28">
        <v>4.8818000000000001</v>
      </c>
      <c r="E240" s="29">
        <v>0.63400000000000001</v>
      </c>
      <c r="F240" s="19"/>
      <c r="G240" s="19"/>
      <c r="H240" s="32">
        <v>0.1084266</v>
      </c>
      <c r="I240" s="32">
        <v>0.1084266</v>
      </c>
      <c r="J240" s="19">
        <f t="shared" si="76"/>
        <v>0.1084266</v>
      </c>
      <c r="K240" s="19">
        <v>200</v>
      </c>
      <c r="L240" s="19">
        <v>6.8</v>
      </c>
      <c r="M240" s="19">
        <f t="shared" si="77"/>
        <v>3.6756756756756754</v>
      </c>
      <c r="N240" s="19">
        <v>0.66785186200000002</v>
      </c>
      <c r="O240" s="20">
        <f t="shared" si="75"/>
        <v>0.58197319941563153</v>
      </c>
      <c r="P240" s="20">
        <f t="shared" si="62"/>
        <v>1.1475646347127335</v>
      </c>
      <c r="Q240" s="21">
        <v>6.5876312129999999</v>
      </c>
      <c r="R240" s="20">
        <f t="shared" si="68"/>
        <v>40.495029471532064</v>
      </c>
      <c r="S240" s="20">
        <f t="shared" si="69"/>
        <v>45.754124208094673</v>
      </c>
      <c r="T240" s="20">
        <f t="shared" si="70"/>
        <v>35.235934734969462</v>
      </c>
      <c r="U240">
        <f t="shared" si="71"/>
        <v>5.2590947365626093</v>
      </c>
      <c r="V240">
        <f t="shared" si="72"/>
        <v>5.2590947365626022</v>
      </c>
      <c r="W240">
        <f t="shared" si="73"/>
        <v>5.2590947365626057</v>
      </c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  <c r="GE240" s="33"/>
      <c r="GF240" s="33"/>
      <c r="GG240" s="33"/>
      <c r="GH240" s="33"/>
      <c r="GI240" s="33"/>
      <c r="GJ240" s="33"/>
      <c r="GK240" s="33"/>
      <c r="GL240" s="33"/>
      <c r="GM240" s="33"/>
      <c r="GN240" s="33"/>
      <c r="GO240" s="33"/>
      <c r="GP240" s="33"/>
      <c r="GQ240" s="33"/>
      <c r="GR240" s="33"/>
      <c r="GS240" s="33"/>
      <c r="GT240" s="33"/>
      <c r="GU240" s="33"/>
      <c r="GV240" s="33"/>
      <c r="GW240" s="33"/>
      <c r="GX240" s="33"/>
      <c r="GY240" s="33"/>
      <c r="GZ240" s="33"/>
      <c r="HA240" s="33"/>
      <c r="HB240" s="33"/>
      <c r="HC240" s="33"/>
      <c r="HD240" s="33"/>
      <c r="HE240" s="33"/>
      <c r="HF240" s="33"/>
      <c r="HG240" s="33"/>
      <c r="HH240" s="33"/>
      <c r="HI240" s="33"/>
      <c r="HJ240" s="33"/>
      <c r="HK240" s="33"/>
      <c r="HL240" s="33"/>
      <c r="HM240" s="33"/>
      <c r="HN240" s="33"/>
      <c r="HO240" s="33"/>
      <c r="HP240" s="33"/>
      <c r="HQ240" s="33"/>
      <c r="HR240" s="33"/>
      <c r="HS240" s="33"/>
      <c r="HT240" s="33"/>
      <c r="HU240" s="33"/>
      <c r="HV240" s="33"/>
      <c r="HW240" s="33"/>
      <c r="HX240" s="33"/>
      <c r="HY240" s="33"/>
      <c r="HZ240" s="33"/>
      <c r="IA240" s="33"/>
      <c r="IB240" s="33"/>
      <c r="IC240" s="33"/>
      <c r="ID240" s="33"/>
      <c r="IE240" s="33"/>
      <c r="IF240" s="33"/>
      <c r="IG240" s="33"/>
      <c r="IH240" s="33"/>
      <c r="II240" s="33"/>
      <c r="IJ240" s="33"/>
      <c r="IK240" s="33"/>
      <c r="IL240" s="33"/>
      <c r="IM240" s="33"/>
      <c r="IN240" s="33"/>
      <c r="IO240" s="33"/>
      <c r="IP240" s="33"/>
      <c r="IQ240" s="33"/>
      <c r="IR240" s="33"/>
      <c r="IS240" s="33"/>
      <c r="IT240" s="33"/>
      <c r="IU240" s="33"/>
      <c r="IV240" s="33"/>
      <c r="IW240" s="33"/>
      <c r="IX240" s="33"/>
      <c r="IY240" s="33"/>
      <c r="IZ240" s="33"/>
      <c r="JA240" s="33"/>
      <c r="JB240" s="33"/>
      <c r="JC240" s="33"/>
      <c r="JD240" s="33"/>
      <c r="JE240" s="33"/>
      <c r="JF240" s="33"/>
      <c r="JG240" s="33"/>
      <c r="JH240" s="33"/>
      <c r="JI240" s="33"/>
      <c r="JJ240" s="33"/>
      <c r="JK240" s="33"/>
      <c r="JL240" s="33"/>
      <c r="JM240" s="33"/>
      <c r="JN240" s="33"/>
      <c r="JO240" s="33"/>
      <c r="JP240" s="33"/>
      <c r="JQ240" s="33"/>
      <c r="JR240" s="33"/>
      <c r="JS240" s="33"/>
      <c r="JT240" s="33"/>
      <c r="JU240" s="33"/>
      <c r="JV240" s="33"/>
      <c r="JW240" s="33"/>
      <c r="JX240" s="33"/>
      <c r="JY240" s="33"/>
      <c r="JZ240" s="33"/>
      <c r="KA240" s="33"/>
      <c r="KB240" s="33"/>
      <c r="KC240" s="33"/>
      <c r="KD240" s="33"/>
      <c r="KE240" s="33"/>
      <c r="KF240" s="33"/>
      <c r="KG240" s="33"/>
    </row>
    <row r="241" spans="1:293" s="20" customFormat="1">
      <c r="A241" s="25"/>
      <c r="B241" s="28">
        <v>3400</v>
      </c>
      <c r="C241" s="28">
        <v>7.7833699999999997</v>
      </c>
      <c r="D241" s="28">
        <v>4.8769499999999999</v>
      </c>
      <c r="E241" s="29">
        <v>0.59099999999999997</v>
      </c>
      <c r="F241" s="19"/>
      <c r="G241" s="19"/>
      <c r="H241" s="32">
        <v>0.11675054999999999</v>
      </c>
      <c r="I241" s="32">
        <v>0.11675054999999999</v>
      </c>
      <c r="J241" s="19">
        <f t="shared" si="76"/>
        <v>0.11675054999999999</v>
      </c>
      <c r="K241" s="19">
        <v>200</v>
      </c>
      <c r="L241" s="19">
        <v>6.8</v>
      </c>
      <c r="M241" s="19">
        <f t="shared" si="77"/>
        <v>3.6756756756756754</v>
      </c>
      <c r="N241" s="19">
        <v>0.66785186200000002</v>
      </c>
      <c r="O241" s="20">
        <f t="shared" si="75"/>
        <v>0.58197319941563153</v>
      </c>
      <c r="P241" s="20">
        <f t="shared" si="62"/>
        <v>1.1475646347127335</v>
      </c>
      <c r="Q241" s="21">
        <v>7.2215397919999997</v>
      </c>
      <c r="R241" s="20">
        <f t="shared" si="68"/>
        <v>43.560527979853958</v>
      </c>
      <c r="S241" s="20">
        <f t="shared" si="69"/>
        <v>48.83929278902643</v>
      </c>
      <c r="T241" s="20">
        <f t="shared" si="70"/>
        <v>38.281763170681486</v>
      </c>
      <c r="U241">
        <f t="shared" si="71"/>
        <v>5.2787648091724719</v>
      </c>
      <c r="V241">
        <f t="shared" si="72"/>
        <v>5.2787648091724719</v>
      </c>
      <c r="W241">
        <f t="shared" si="73"/>
        <v>5.2787648091724719</v>
      </c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  <c r="GE241" s="33"/>
      <c r="GF241" s="33"/>
      <c r="GG241" s="33"/>
      <c r="GH241" s="33"/>
      <c r="GI241" s="33"/>
      <c r="GJ241" s="33"/>
      <c r="GK241" s="33"/>
      <c r="GL241" s="33"/>
      <c r="GM241" s="33"/>
      <c r="GN241" s="33"/>
      <c r="GO241" s="33"/>
      <c r="GP241" s="33"/>
      <c r="GQ241" s="33"/>
      <c r="GR241" s="33"/>
      <c r="GS241" s="33"/>
      <c r="GT241" s="33"/>
      <c r="GU241" s="33"/>
      <c r="GV241" s="33"/>
      <c r="GW241" s="33"/>
      <c r="GX241" s="33"/>
      <c r="GY241" s="33"/>
      <c r="GZ241" s="33"/>
      <c r="HA241" s="33"/>
      <c r="HB241" s="33"/>
      <c r="HC241" s="33"/>
      <c r="HD241" s="33"/>
      <c r="HE241" s="33"/>
      <c r="HF241" s="33"/>
      <c r="HG241" s="33"/>
      <c r="HH241" s="33"/>
      <c r="HI241" s="33"/>
      <c r="HJ241" s="33"/>
      <c r="HK241" s="33"/>
      <c r="HL241" s="33"/>
      <c r="HM241" s="33"/>
      <c r="HN241" s="33"/>
      <c r="HO241" s="33"/>
      <c r="HP241" s="33"/>
      <c r="HQ241" s="33"/>
      <c r="HR241" s="33"/>
      <c r="HS241" s="33"/>
      <c r="HT241" s="33"/>
      <c r="HU241" s="33"/>
      <c r="HV241" s="33"/>
      <c r="HW241" s="33"/>
      <c r="HX241" s="33"/>
      <c r="HY241" s="33"/>
      <c r="HZ241" s="33"/>
      <c r="IA241" s="33"/>
      <c r="IB241" s="33"/>
      <c r="IC241" s="33"/>
      <c r="ID241" s="33"/>
      <c r="IE241" s="33"/>
      <c r="IF241" s="33"/>
      <c r="IG241" s="33"/>
      <c r="IH241" s="33"/>
      <c r="II241" s="33"/>
      <c r="IJ241" s="33"/>
      <c r="IK241" s="33"/>
      <c r="IL241" s="33"/>
      <c r="IM241" s="33"/>
      <c r="IN241" s="33"/>
      <c r="IO241" s="33"/>
      <c r="IP241" s="33"/>
      <c r="IQ241" s="33"/>
      <c r="IR241" s="33"/>
      <c r="IS241" s="33"/>
      <c r="IT241" s="33"/>
      <c r="IU241" s="33"/>
      <c r="IV241" s="33"/>
      <c r="IW241" s="33"/>
      <c r="IX241" s="33"/>
      <c r="IY241" s="33"/>
      <c r="IZ241" s="33"/>
      <c r="JA241" s="33"/>
      <c r="JB241" s="33"/>
      <c r="JC241" s="33"/>
      <c r="JD241" s="33"/>
      <c r="JE241" s="33"/>
      <c r="JF241" s="33"/>
      <c r="JG241" s="33"/>
      <c r="JH241" s="33"/>
      <c r="JI241" s="33"/>
      <c r="JJ241" s="33"/>
      <c r="JK241" s="33"/>
      <c r="JL241" s="33"/>
      <c r="JM241" s="33"/>
      <c r="JN241" s="33"/>
      <c r="JO241" s="33"/>
      <c r="JP241" s="33"/>
      <c r="JQ241" s="33"/>
      <c r="JR241" s="33"/>
      <c r="JS241" s="33"/>
      <c r="JT241" s="33"/>
      <c r="JU241" s="33"/>
      <c r="JV241" s="33"/>
      <c r="JW241" s="33"/>
      <c r="JX241" s="33"/>
      <c r="JY241" s="33"/>
      <c r="JZ241" s="33"/>
      <c r="KA241" s="33"/>
      <c r="KB241" s="33"/>
      <c r="KC241" s="33"/>
      <c r="KD241" s="33"/>
      <c r="KE241" s="33"/>
      <c r="KF241" s="33"/>
      <c r="KG241" s="33"/>
    </row>
    <row r="242" spans="1:293" s="20" customFormat="1">
      <c r="A242" s="25"/>
      <c r="B242" s="28">
        <v>3400</v>
      </c>
      <c r="C242" s="28">
        <v>8.3809000000000005</v>
      </c>
      <c r="D242" s="28">
        <v>4.8894200000000003</v>
      </c>
      <c r="E242" s="29">
        <v>0.55200000000000005</v>
      </c>
      <c r="F242" s="19"/>
      <c r="G242" s="19"/>
      <c r="H242" s="32">
        <v>0.12571350000000001</v>
      </c>
      <c r="I242" s="32">
        <v>0.12571350000000001</v>
      </c>
      <c r="J242" s="19">
        <f t="shared" si="76"/>
        <v>0.12571350000000001</v>
      </c>
      <c r="K242" s="19">
        <v>200</v>
      </c>
      <c r="L242" s="19">
        <v>6.8</v>
      </c>
      <c r="M242" s="19">
        <f t="shared" si="77"/>
        <v>3.6756756756756754</v>
      </c>
      <c r="N242" s="19">
        <v>0.66785186200000002</v>
      </c>
      <c r="O242" s="20">
        <f t="shared" si="75"/>
        <v>0.58197319941563153</v>
      </c>
      <c r="P242" s="20">
        <f t="shared" si="62"/>
        <v>1.1475646347127335</v>
      </c>
      <c r="Q242" s="21">
        <v>7.9010701149999996</v>
      </c>
      <c r="R242" s="20">
        <f t="shared" si="68"/>
        <v>47.024605323963414</v>
      </c>
      <c r="S242" s="20">
        <f t="shared" si="69"/>
        <v>52.333534018742725</v>
      </c>
      <c r="T242" s="20">
        <f t="shared" si="70"/>
        <v>41.715676629184117</v>
      </c>
      <c r="U242">
        <f t="shared" si="71"/>
        <v>5.3089286947793113</v>
      </c>
      <c r="V242">
        <f t="shared" si="72"/>
        <v>5.3089286947792971</v>
      </c>
      <c r="W242">
        <f t="shared" si="73"/>
        <v>5.3089286947793042</v>
      </c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  <c r="GE242" s="33"/>
      <c r="GF242" s="33"/>
      <c r="GG242" s="33"/>
      <c r="GH242" s="33"/>
      <c r="GI242" s="33"/>
      <c r="GJ242" s="33"/>
      <c r="GK242" s="33"/>
      <c r="GL242" s="33"/>
      <c r="GM242" s="33"/>
      <c r="GN242" s="33"/>
      <c r="GO242" s="33"/>
      <c r="GP242" s="33"/>
      <c r="GQ242" s="33"/>
      <c r="GR242" s="33"/>
      <c r="GS242" s="33"/>
      <c r="GT242" s="33"/>
      <c r="GU242" s="33"/>
      <c r="GV242" s="33"/>
      <c r="GW242" s="33"/>
      <c r="GX242" s="33"/>
      <c r="GY242" s="33"/>
      <c r="GZ242" s="33"/>
      <c r="HA242" s="33"/>
      <c r="HB242" s="33"/>
      <c r="HC242" s="33"/>
      <c r="HD242" s="33"/>
      <c r="HE242" s="33"/>
      <c r="HF242" s="33"/>
      <c r="HG242" s="33"/>
      <c r="HH242" s="33"/>
      <c r="HI242" s="33"/>
      <c r="HJ242" s="33"/>
      <c r="HK242" s="33"/>
      <c r="HL242" s="33"/>
      <c r="HM242" s="33"/>
      <c r="HN242" s="33"/>
      <c r="HO242" s="33"/>
      <c r="HP242" s="33"/>
      <c r="HQ242" s="33"/>
      <c r="HR242" s="33"/>
      <c r="HS242" s="33"/>
      <c r="HT242" s="33"/>
      <c r="HU242" s="33"/>
      <c r="HV242" s="33"/>
      <c r="HW242" s="33"/>
      <c r="HX242" s="33"/>
      <c r="HY242" s="33"/>
      <c r="HZ242" s="33"/>
      <c r="IA242" s="33"/>
      <c r="IB242" s="33"/>
      <c r="IC242" s="33"/>
      <c r="ID242" s="33"/>
      <c r="IE242" s="33"/>
      <c r="IF242" s="33"/>
      <c r="IG242" s="33"/>
      <c r="IH242" s="33"/>
      <c r="II242" s="33"/>
      <c r="IJ242" s="33"/>
      <c r="IK242" s="33"/>
      <c r="IL242" s="33"/>
      <c r="IM242" s="33"/>
      <c r="IN242" s="33"/>
      <c r="IO242" s="33"/>
      <c r="IP242" s="33"/>
      <c r="IQ242" s="33"/>
      <c r="IR242" s="33"/>
      <c r="IS242" s="33"/>
      <c r="IT242" s="33"/>
      <c r="IU242" s="33"/>
      <c r="IV242" s="33"/>
      <c r="IW242" s="33"/>
      <c r="IX242" s="33"/>
      <c r="IY242" s="33"/>
      <c r="IZ242" s="33"/>
      <c r="JA242" s="33"/>
      <c r="JB242" s="33"/>
      <c r="JC242" s="33"/>
      <c r="JD242" s="33"/>
      <c r="JE242" s="33"/>
      <c r="JF242" s="33"/>
      <c r="JG242" s="33"/>
      <c r="JH242" s="33"/>
      <c r="JI242" s="33"/>
      <c r="JJ242" s="33"/>
      <c r="JK242" s="33"/>
      <c r="JL242" s="33"/>
      <c r="JM242" s="33"/>
      <c r="JN242" s="33"/>
      <c r="JO242" s="33"/>
      <c r="JP242" s="33"/>
      <c r="JQ242" s="33"/>
      <c r="JR242" s="33"/>
      <c r="JS242" s="33"/>
      <c r="JT242" s="33"/>
      <c r="JU242" s="33"/>
      <c r="JV242" s="33"/>
      <c r="JW242" s="33"/>
      <c r="JX242" s="33"/>
      <c r="JY242" s="33"/>
      <c r="JZ242" s="33"/>
      <c r="KA242" s="33"/>
      <c r="KB242" s="33"/>
      <c r="KC242" s="33"/>
      <c r="KD242" s="33"/>
      <c r="KE242" s="33"/>
      <c r="KF242" s="33"/>
      <c r="KG242" s="33"/>
    </row>
    <row r="243" spans="1:293" s="20" customFormat="1">
      <c r="A243" s="25"/>
      <c r="B243" s="28">
        <v>3400</v>
      </c>
      <c r="C243" s="28">
        <v>9.0243099999999998</v>
      </c>
      <c r="D243" s="28">
        <v>4.9165400000000004</v>
      </c>
      <c r="E243" s="29">
        <v>0.51800000000000002</v>
      </c>
      <c r="F243" s="19"/>
      <c r="G243" s="19"/>
      <c r="H243" s="32">
        <v>0.13536465</v>
      </c>
      <c r="I243" s="32">
        <v>0.13536465</v>
      </c>
      <c r="J243" s="19">
        <f t="shared" si="76"/>
        <v>0.13536465</v>
      </c>
      <c r="K243" s="19">
        <v>200</v>
      </c>
      <c r="L243" s="19">
        <v>6.8</v>
      </c>
      <c r="M243" s="19">
        <f t="shared" si="77"/>
        <v>3.6756756756756754</v>
      </c>
      <c r="N243" s="19">
        <v>0.66785186200000002</v>
      </c>
      <c r="O243" s="20">
        <f t="shared" si="75"/>
        <v>0.58197319941563153</v>
      </c>
      <c r="P243" s="20">
        <f t="shared" si="62"/>
        <v>1.1475646347127335</v>
      </c>
      <c r="Q243" s="21">
        <v>8.6273507439999992</v>
      </c>
      <c r="R243" s="20">
        <f t="shared" si="68"/>
        <v>50.915585035357537</v>
      </c>
      <c r="S243" s="20">
        <f t="shared" si="69"/>
        <v>56.27998216185609</v>
      </c>
      <c r="T243" s="20">
        <f t="shared" si="70"/>
        <v>45.551187908858992</v>
      </c>
      <c r="U243">
        <f t="shared" si="71"/>
        <v>5.3643971264985524</v>
      </c>
      <c r="V243">
        <f t="shared" si="72"/>
        <v>5.3643971264985453</v>
      </c>
      <c r="W243">
        <f t="shared" si="73"/>
        <v>5.3643971264985488</v>
      </c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  <c r="GE243" s="33"/>
      <c r="GF243" s="33"/>
      <c r="GG243" s="33"/>
      <c r="GH243" s="33"/>
      <c r="GI243" s="33"/>
      <c r="GJ243" s="33"/>
      <c r="GK243" s="33"/>
      <c r="GL243" s="33"/>
      <c r="GM243" s="33"/>
      <c r="GN243" s="33"/>
      <c r="GO243" s="33"/>
      <c r="GP243" s="33"/>
      <c r="GQ243" s="33"/>
      <c r="GR243" s="33"/>
      <c r="GS243" s="33"/>
      <c r="GT243" s="33"/>
      <c r="GU243" s="33"/>
      <c r="GV243" s="33"/>
      <c r="GW243" s="33"/>
      <c r="GX243" s="33"/>
      <c r="GY243" s="33"/>
      <c r="GZ243" s="33"/>
      <c r="HA243" s="33"/>
      <c r="HB243" s="33"/>
      <c r="HC243" s="33"/>
      <c r="HD243" s="33"/>
      <c r="HE243" s="33"/>
      <c r="HF243" s="33"/>
      <c r="HG243" s="33"/>
      <c r="HH243" s="33"/>
      <c r="HI243" s="33"/>
      <c r="HJ243" s="33"/>
      <c r="HK243" s="33"/>
      <c r="HL243" s="33"/>
      <c r="HM243" s="33"/>
      <c r="HN243" s="33"/>
      <c r="HO243" s="33"/>
      <c r="HP243" s="33"/>
      <c r="HQ243" s="33"/>
      <c r="HR243" s="33"/>
      <c r="HS243" s="33"/>
      <c r="HT243" s="33"/>
      <c r="HU243" s="33"/>
      <c r="HV243" s="33"/>
      <c r="HW243" s="33"/>
      <c r="HX243" s="33"/>
      <c r="HY243" s="33"/>
      <c r="HZ243" s="33"/>
      <c r="IA243" s="33"/>
      <c r="IB243" s="33"/>
      <c r="IC243" s="33"/>
      <c r="ID243" s="33"/>
      <c r="IE243" s="33"/>
      <c r="IF243" s="33"/>
      <c r="IG243" s="33"/>
      <c r="IH243" s="33"/>
      <c r="II243" s="33"/>
      <c r="IJ243" s="33"/>
      <c r="IK243" s="33"/>
      <c r="IL243" s="33"/>
      <c r="IM243" s="33"/>
      <c r="IN243" s="33"/>
      <c r="IO243" s="33"/>
      <c r="IP243" s="33"/>
      <c r="IQ243" s="33"/>
      <c r="IR243" s="33"/>
      <c r="IS243" s="33"/>
      <c r="IT243" s="33"/>
      <c r="IU243" s="33"/>
      <c r="IV243" s="33"/>
      <c r="IW243" s="33"/>
      <c r="IX243" s="33"/>
      <c r="IY243" s="33"/>
      <c r="IZ243" s="33"/>
      <c r="JA243" s="33"/>
      <c r="JB243" s="33"/>
      <c r="JC243" s="33"/>
      <c r="JD243" s="33"/>
      <c r="JE243" s="33"/>
      <c r="JF243" s="33"/>
      <c r="JG243" s="33"/>
      <c r="JH243" s="33"/>
      <c r="JI243" s="33"/>
      <c r="JJ243" s="33"/>
      <c r="JK243" s="33"/>
      <c r="JL243" s="33"/>
      <c r="JM243" s="33"/>
      <c r="JN243" s="33"/>
      <c r="JO243" s="33"/>
      <c r="JP243" s="33"/>
      <c r="JQ243" s="33"/>
      <c r="JR243" s="33"/>
      <c r="JS243" s="33"/>
      <c r="JT243" s="33"/>
      <c r="JU243" s="33"/>
      <c r="JV243" s="33"/>
      <c r="JW243" s="33"/>
      <c r="JX243" s="33"/>
      <c r="JY243" s="33"/>
      <c r="JZ243" s="33"/>
      <c r="KA243" s="33"/>
      <c r="KB243" s="33"/>
      <c r="KC243" s="33"/>
      <c r="KD243" s="33"/>
      <c r="KE243" s="33"/>
      <c r="KF243" s="33"/>
      <c r="KG243" s="33"/>
    </row>
    <row r="244" spans="1:293" s="20" customFormat="1">
      <c r="A244" s="25"/>
      <c r="B244" s="28">
        <v>3400</v>
      </c>
      <c r="C244" s="28">
        <v>9.7171099999999999</v>
      </c>
      <c r="D244" s="28">
        <v>4.9531299999999998</v>
      </c>
      <c r="E244" s="29">
        <v>0.48599999999999999</v>
      </c>
      <c r="F244" s="19"/>
      <c r="G244" s="19"/>
      <c r="H244" s="32">
        <v>0.14575664999999999</v>
      </c>
      <c r="I244" s="32">
        <v>0.14575664999999999</v>
      </c>
      <c r="J244" s="19">
        <f t="shared" si="76"/>
        <v>0.14575664999999999</v>
      </c>
      <c r="K244" s="19">
        <v>200</v>
      </c>
      <c r="L244" s="19">
        <v>6.8</v>
      </c>
      <c r="M244" s="19">
        <f t="shared" si="77"/>
        <v>3.6756756756756754</v>
      </c>
      <c r="N244" s="19">
        <v>0.66785186200000002</v>
      </c>
      <c r="O244" s="20">
        <f t="shared" si="75"/>
        <v>0.58197319941563153</v>
      </c>
      <c r="P244" s="20">
        <f t="shared" si="62"/>
        <v>1.1475646347127335</v>
      </c>
      <c r="Q244" s="21">
        <v>9.4014140739999998</v>
      </c>
      <c r="R244" s="20">
        <f t="shared" si="68"/>
        <v>55.23241101558181</v>
      </c>
      <c r="S244" s="20">
        <f t="shared" si="69"/>
        <v>60.651802744361937</v>
      </c>
      <c r="T244" s="20">
        <f t="shared" si="70"/>
        <v>49.813019286801676</v>
      </c>
      <c r="U244">
        <f t="shared" si="71"/>
        <v>5.419391728780127</v>
      </c>
      <c r="V244">
        <f t="shared" si="72"/>
        <v>5.4193917287801341</v>
      </c>
      <c r="W244">
        <f t="shared" si="73"/>
        <v>5.4193917287801305</v>
      </c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  <c r="GE244" s="33"/>
      <c r="GF244" s="33"/>
      <c r="GG244" s="33"/>
      <c r="GH244" s="33"/>
      <c r="GI244" s="33"/>
      <c r="GJ244" s="33"/>
      <c r="GK244" s="33"/>
      <c r="GL244" s="33"/>
      <c r="GM244" s="33"/>
      <c r="GN244" s="33"/>
      <c r="GO244" s="33"/>
      <c r="GP244" s="33"/>
      <c r="GQ244" s="33"/>
      <c r="GR244" s="33"/>
      <c r="GS244" s="33"/>
      <c r="GT244" s="33"/>
      <c r="GU244" s="33"/>
      <c r="GV244" s="33"/>
      <c r="GW244" s="33"/>
      <c r="GX244" s="33"/>
      <c r="GY244" s="33"/>
      <c r="GZ244" s="33"/>
      <c r="HA244" s="33"/>
      <c r="HB244" s="33"/>
      <c r="HC244" s="33"/>
      <c r="HD244" s="33"/>
      <c r="HE244" s="33"/>
      <c r="HF244" s="33"/>
      <c r="HG244" s="33"/>
      <c r="HH244" s="33"/>
      <c r="HI244" s="33"/>
      <c r="HJ244" s="33"/>
      <c r="HK244" s="33"/>
      <c r="HL244" s="33"/>
      <c r="HM244" s="33"/>
      <c r="HN244" s="33"/>
      <c r="HO244" s="33"/>
      <c r="HP244" s="33"/>
      <c r="HQ244" s="33"/>
      <c r="HR244" s="33"/>
      <c r="HS244" s="33"/>
      <c r="HT244" s="33"/>
      <c r="HU244" s="33"/>
      <c r="HV244" s="33"/>
      <c r="HW244" s="33"/>
      <c r="HX244" s="33"/>
      <c r="HY244" s="33"/>
      <c r="HZ244" s="33"/>
      <c r="IA244" s="33"/>
      <c r="IB244" s="33"/>
      <c r="IC244" s="33"/>
      <c r="ID244" s="33"/>
      <c r="IE244" s="33"/>
      <c r="IF244" s="33"/>
      <c r="IG244" s="33"/>
      <c r="IH244" s="33"/>
      <c r="II244" s="33"/>
      <c r="IJ244" s="33"/>
      <c r="IK244" s="33"/>
      <c r="IL244" s="33"/>
      <c r="IM244" s="33"/>
      <c r="IN244" s="33"/>
      <c r="IO244" s="33"/>
      <c r="IP244" s="33"/>
      <c r="IQ244" s="33"/>
      <c r="IR244" s="33"/>
      <c r="IS244" s="33"/>
      <c r="IT244" s="33"/>
      <c r="IU244" s="33"/>
      <c r="IV244" s="33"/>
      <c r="IW244" s="33"/>
      <c r="IX244" s="33"/>
      <c r="IY244" s="33"/>
      <c r="IZ244" s="33"/>
      <c r="JA244" s="33"/>
      <c r="JB244" s="33"/>
      <c r="JC244" s="33"/>
      <c r="JD244" s="33"/>
      <c r="JE244" s="33"/>
      <c r="JF244" s="33"/>
      <c r="JG244" s="33"/>
      <c r="JH244" s="33"/>
      <c r="JI244" s="33"/>
      <c r="JJ244" s="33"/>
      <c r="JK244" s="33"/>
      <c r="JL244" s="33"/>
      <c r="JM244" s="33"/>
      <c r="JN244" s="33"/>
      <c r="JO244" s="33"/>
      <c r="JP244" s="33"/>
      <c r="JQ244" s="33"/>
      <c r="JR244" s="33"/>
      <c r="JS244" s="33"/>
      <c r="JT244" s="33"/>
      <c r="JU244" s="33"/>
      <c r="JV244" s="33"/>
      <c r="JW244" s="33"/>
      <c r="JX244" s="33"/>
      <c r="JY244" s="33"/>
      <c r="JZ244" s="33"/>
      <c r="KA244" s="33"/>
      <c r="KB244" s="33"/>
      <c r="KC244" s="33"/>
      <c r="KD244" s="33"/>
      <c r="KE244" s="33"/>
      <c r="KF244" s="33"/>
      <c r="KG244" s="33"/>
    </row>
    <row r="245" spans="1:293" s="20" customFormat="1">
      <c r="A245" s="25"/>
      <c r="B245" s="28">
        <v>3400</v>
      </c>
      <c r="C245" s="28">
        <v>10.463100000000001</v>
      </c>
      <c r="D245" s="28">
        <v>4.9909299999999996</v>
      </c>
      <c r="E245" s="29">
        <v>0.45600000000000002</v>
      </c>
      <c r="F245" s="19"/>
      <c r="G245" s="19"/>
      <c r="H245" s="32">
        <v>0.15694649999999999</v>
      </c>
      <c r="I245" s="32">
        <v>0.15694649999999999</v>
      </c>
      <c r="J245" s="19">
        <f t="shared" si="76"/>
        <v>0.15694650000000002</v>
      </c>
      <c r="K245" s="19">
        <v>200</v>
      </c>
      <c r="L245" s="19">
        <v>6.8</v>
      </c>
      <c r="M245" s="19">
        <f t="shared" si="77"/>
        <v>3.6756756756756754</v>
      </c>
      <c r="N245" s="19">
        <v>0.66785186200000002</v>
      </c>
      <c r="O245" s="20">
        <f t="shared" si="75"/>
        <v>0.58197319941563153</v>
      </c>
      <c r="P245" s="20">
        <f t="shared" si="62"/>
        <v>1.1475646347127335</v>
      </c>
      <c r="Q245" s="21">
        <v>10.224271440000001</v>
      </c>
      <c r="R245" s="20">
        <f t="shared" si="68"/>
        <v>59.926513399701783</v>
      </c>
      <c r="S245" s="20">
        <f t="shared" si="69"/>
        <v>65.401743489136834</v>
      </c>
      <c r="T245" s="20">
        <f t="shared" si="70"/>
        <v>54.451283310266746</v>
      </c>
      <c r="U245">
        <f t="shared" si="71"/>
        <v>5.4752300894350512</v>
      </c>
      <c r="V245">
        <f t="shared" si="72"/>
        <v>5.475230089435037</v>
      </c>
      <c r="W245">
        <f t="shared" si="73"/>
        <v>5.4752300894350441</v>
      </c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  <c r="GE245" s="33"/>
      <c r="GF245" s="33"/>
      <c r="GG245" s="33"/>
      <c r="GH245" s="33"/>
      <c r="GI245" s="33"/>
      <c r="GJ245" s="33"/>
      <c r="GK245" s="33"/>
      <c r="GL245" s="33"/>
      <c r="GM245" s="33"/>
      <c r="GN245" s="33"/>
      <c r="GO245" s="33"/>
      <c r="GP245" s="33"/>
      <c r="GQ245" s="33"/>
      <c r="GR245" s="33"/>
      <c r="GS245" s="33"/>
      <c r="GT245" s="33"/>
      <c r="GU245" s="33"/>
      <c r="GV245" s="33"/>
      <c r="GW245" s="33"/>
      <c r="GX245" s="33"/>
      <c r="GY245" s="33"/>
      <c r="GZ245" s="33"/>
      <c r="HA245" s="33"/>
      <c r="HB245" s="33"/>
      <c r="HC245" s="33"/>
      <c r="HD245" s="33"/>
      <c r="HE245" s="33"/>
      <c r="HF245" s="33"/>
      <c r="HG245" s="33"/>
      <c r="HH245" s="33"/>
      <c r="HI245" s="33"/>
      <c r="HJ245" s="33"/>
      <c r="HK245" s="33"/>
      <c r="HL245" s="33"/>
      <c r="HM245" s="33"/>
      <c r="HN245" s="33"/>
      <c r="HO245" s="33"/>
      <c r="HP245" s="33"/>
      <c r="HQ245" s="33"/>
      <c r="HR245" s="33"/>
      <c r="HS245" s="33"/>
      <c r="HT245" s="33"/>
      <c r="HU245" s="33"/>
      <c r="HV245" s="33"/>
      <c r="HW245" s="33"/>
      <c r="HX245" s="33"/>
      <c r="HY245" s="33"/>
      <c r="HZ245" s="33"/>
      <c r="IA245" s="33"/>
      <c r="IB245" s="33"/>
      <c r="IC245" s="33"/>
      <c r="ID245" s="33"/>
      <c r="IE245" s="33"/>
      <c r="IF245" s="33"/>
      <c r="IG245" s="33"/>
      <c r="IH245" s="33"/>
      <c r="II245" s="33"/>
      <c r="IJ245" s="33"/>
      <c r="IK245" s="33"/>
      <c r="IL245" s="33"/>
      <c r="IM245" s="33"/>
      <c r="IN245" s="33"/>
      <c r="IO245" s="33"/>
      <c r="IP245" s="33"/>
      <c r="IQ245" s="33"/>
      <c r="IR245" s="33"/>
      <c r="IS245" s="33"/>
      <c r="IT245" s="33"/>
      <c r="IU245" s="33"/>
      <c r="IV245" s="33"/>
      <c r="IW245" s="33"/>
      <c r="IX245" s="33"/>
      <c r="IY245" s="33"/>
      <c r="IZ245" s="33"/>
      <c r="JA245" s="33"/>
      <c r="JB245" s="33"/>
      <c r="JC245" s="33"/>
      <c r="JD245" s="33"/>
      <c r="JE245" s="33"/>
      <c r="JF245" s="33"/>
      <c r="JG245" s="33"/>
      <c r="JH245" s="33"/>
      <c r="JI245" s="33"/>
      <c r="JJ245" s="33"/>
      <c r="JK245" s="33"/>
      <c r="JL245" s="33"/>
      <c r="JM245" s="33"/>
      <c r="JN245" s="33"/>
      <c r="JO245" s="33"/>
      <c r="JP245" s="33"/>
      <c r="JQ245" s="33"/>
      <c r="JR245" s="33"/>
      <c r="JS245" s="33"/>
      <c r="JT245" s="33"/>
      <c r="JU245" s="33"/>
      <c r="JV245" s="33"/>
      <c r="JW245" s="33"/>
      <c r="JX245" s="33"/>
      <c r="JY245" s="33"/>
      <c r="JZ245" s="33"/>
      <c r="KA245" s="33"/>
      <c r="KB245" s="33"/>
      <c r="KC245" s="33"/>
      <c r="KD245" s="33"/>
      <c r="KE245" s="33"/>
      <c r="KF245" s="33"/>
      <c r="KG245" s="33"/>
    </row>
    <row r="246" spans="1:293" s="20" customFormat="1">
      <c r="A246" s="25"/>
      <c r="B246" s="28">
        <v>3400</v>
      </c>
      <c r="C246" s="28">
        <v>11.266299999999999</v>
      </c>
      <c r="D246" s="28">
        <v>5.0248600000000003</v>
      </c>
      <c r="E246" s="29">
        <v>0.42799999999999999</v>
      </c>
      <c r="F246" s="19"/>
      <c r="G246" s="19"/>
      <c r="H246" s="32">
        <v>0.16899449999999999</v>
      </c>
      <c r="I246" s="32">
        <v>0.16899449999999999</v>
      </c>
      <c r="J246" s="19">
        <f t="shared" si="76"/>
        <v>0.16899449999999999</v>
      </c>
      <c r="K246" s="19">
        <v>200</v>
      </c>
      <c r="L246" s="19">
        <v>6.8</v>
      </c>
      <c r="M246" s="19">
        <f t="shared" si="77"/>
        <v>3.6756756756756754</v>
      </c>
      <c r="N246" s="19">
        <v>0.66785186200000002</v>
      </c>
      <c r="O246" s="20">
        <f t="shared" si="75"/>
        <v>0.58197319941563153</v>
      </c>
      <c r="P246" s="20">
        <f t="shared" si="62"/>
        <v>1.1475646347127335</v>
      </c>
      <c r="Q246" s="21">
        <v>11.09716952</v>
      </c>
      <c r="R246" s="20">
        <f t="shared" si="68"/>
        <v>64.965447373379774</v>
      </c>
      <c r="S246" s="20">
        <f t="shared" si="69"/>
        <v>70.498976959439204</v>
      </c>
      <c r="T246" s="20">
        <f t="shared" si="70"/>
        <v>59.431917787320366</v>
      </c>
      <c r="U246">
        <f t="shared" si="71"/>
        <v>5.53352958605943</v>
      </c>
      <c r="V246">
        <f t="shared" si="72"/>
        <v>5.5335295860594087</v>
      </c>
      <c r="W246">
        <f t="shared" si="73"/>
        <v>5.5335295860594194</v>
      </c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  <c r="GE246" s="33"/>
      <c r="GF246" s="33"/>
      <c r="GG246" s="33"/>
      <c r="GH246" s="33"/>
      <c r="GI246" s="33"/>
      <c r="GJ246" s="33"/>
      <c r="GK246" s="33"/>
      <c r="GL246" s="33"/>
      <c r="GM246" s="33"/>
      <c r="GN246" s="33"/>
      <c r="GO246" s="33"/>
      <c r="GP246" s="33"/>
      <c r="GQ246" s="33"/>
      <c r="GR246" s="33"/>
      <c r="GS246" s="33"/>
      <c r="GT246" s="33"/>
      <c r="GU246" s="33"/>
      <c r="GV246" s="33"/>
      <c r="GW246" s="33"/>
      <c r="GX246" s="33"/>
      <c r="GY246" s="33"/>
      <c r="GZ246" s="33"/>
      <c r="HA246" s="33"/>
      <c r="HB246" s="33"/>
      <c r="HC246" s="33"/>
      <c r="HD246" s="33"/>
      <c r="HE246" s="33"/>
      <c r="HF246" s="33"/>
      <c r="HG246" s="33"/>
      <c r="HH246" s="33"/>
      <c r="HI246" s="33"/>
      <c r="HJ246" s="33"/>
      <c r="HK246" s="33"/>
      <c r="HL246" s="33"/>
      <c r="HM246" s="33"/>
      <c r="HN246" s="33"/>
      <c r="HO246" s="33"/>
      <c r="HP246" s="33"/>
      <c r="HQ246" s="33"/>
      <c r="HR246" s="33"/>
      <c r="HS246" s="33"/>
      <c r="HT246" s="33"/>
      <c r="HU246" s="33"/>
      <c r="HV246" s="33"/>
      <c r="HW246" s="33"/>
      <c r="HX246" s="33"/>
      <c r="HY246" s="33"/>
      <c r="HZ246" s="33"/>
      <c r="IA246" s="33"/>
      <c r="IB246" s="33"/>
      <c r="IC246" s="33"/>
      <c r="ID246" s="33"/>
      <c r="IE246" s="33"/>
      <c r="IF246" s="33"/>
      <c r="IG246" s="33"/>
      <c r="IH246" s="33"/>
      <c r="II246" s="33"/>
      <c r="IJ246" s="33"/>
      <c r="IK246" s="33"/>
      <c r="IL246" s="33"/>
      <c r="IM246" s="33"/>
      <c r="IN246" s="33"/>
      <c r="IO246" s="33"/>
      <c r="IP246" s="33"/>
      <c r="IQ246" s="33"/>
      <c r="IR246" s="33"/>
      <c r="IS246" s="33"/>
      <c r="IT246" s="33"/>
      <c r="IU246" s="33"/>
      <c r="IV246" s="33"/>
      <c r="IW246" s="33"/>
      <c r="IX246" s="33"/>
      <c r="IY246" s="33"/>
      <c r="IZ246" s="33"/>
      <c r="JA246" s="33"/>
      <c r="JB246" s="33"/>
      <c r="JC246" s="33"/>
      <c r="JD246" s="33"/>
      <c r="JE246" s="33"/>
      <c r="JF246" s="33"/>
      <c r="JG246" s="33"/>
      <c r="JH246" s="33"/>
      <c r="JI246" s="33"/>
      <c r="JJ246" s="33"/>
      <c r="JK246" s="33"/>
      <c r="JL246" s="33"/>
      <c r="JM246" s="33"/>
      <c r="JN246" s="33"/>
      <c r="JO246" s="33"/>
      <c r="JP246" s="33"/>
      <c r="JQ246" s="33"/>
      <c r="JR246" s="33"/>
      <c r="JS246" s="33"/>
      <c r="JT246" s="33"/>
      <c r="JU246" s="33"/>
      <c r="JV246" s="33"/>
      <c r="JW246" s="33"/>
      <c r="JX246" s="33"/>
      <c r="JY246" s="33"/>
      <c r="JZ246" s="33"/>
      <c r="KA246" s="33"/>
      <c r="KB246" s="33"/>
      <c r="KC246" s="33"/>
      <c r="KD246" s="33"/>
      <c r="KE246" s="33"/>
      <c r="KF246" s="33"/>
      <c r="KG246" s="33"/>
    </row>
    <row r="247" spans="1:293" s="20" customFormat="1">
      <c r="A247" s="25"/>
      <c r="B247" s="28">
        <v>3400</v>
      </c>
      <c r="C247" s="28">
        <v>12.1313</v>
      </c>
      <c r="D247" s="28">
        <v>5.0537400000000003</v>
      </c>
      <c r="E247" s="29">
        <v>0.40100000000000002</v>
      </c>
      <c r="F247" s="19"/>
      <c r="G247" s="19"/>
      <c r="H247" s="32">
        <v>0.18196950000000001</v>
      </c>
      <c r="I247" s="32">
        <v>0.18196950000000001</v>
      </c>
      <c r="J247" s="19">
        <f t="shared" si="76"/>
        <v>0.18196949999999998</v>
      </c>
      <c r="K247" s="19">
        <v>200</v>
      </c>
      <c r="L247" s="19">
        <v>6.8</v>
      </c>
      <c r="M247" s="19">
        <f t="shared" si="77"/>
        <v>3.6756756756756754</v>
      </c>
      <c r="N247" s="19">
        <v>0.66785186200000002</v>
      </c>
      <c r="O247" s="20">
        <f t="shared" si="75"/>
        <v>0.58197319941563153</v>
      </c>
      <c r="P247" s="20">
        <f t="shared" si="62"/>
        <v>1.1475646347127335</v>
      </c>
      <c r="Q247" s="21">
        <v>12.0222677</v>
      </c>
      <c r="R247" s="20">
        <f t="shared" si="68"/>
        <v>70.355393034298004</v>
      </c>
      <c r="S247" s="20">
        <f t="shared" si="69"/>
        <v>75.937894826387335</v>
      </c>
      <c r="T247" s="20">
        <f t="shared" si="70"/>
        <v>64.772891242208686</v>
      </c>
      <c r="U247">
        <f t="shared" si="71"/>
        <v>5.5825017920893316</v>
      </c>
      <c r="V247">
        <f t="shared" si="72"/>
        <v>5.5825017920893174</v>
      </c>
      <c r="W247">
        <f t="shared" si="73"/>
        <v>5.5825017920893245</v>
      </c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  <c r="GE247" s="33"/>
      <c r="GF247" s="33"/>
      <c r="GG247" s="33"/>
      <c r="GH247" s="33"/>
      <c r="GI247" s="33"/>
      <c r="GJ247" s="33"/>
      <c r="GK247" s="33"/>
      <c r="GL247" s="33"/>
      <c r="GM247" s="33"/>
      <c r="GN247" s="33"/>
      <c r="GO247" s="33"/>
      <c r="GP247" s="33"/>
      <c r="GQ247" s="33"/>
      <c r="GR247" s="33"/>
      <c r="GS247" s="33"/>
      <c r="GT247" s="33"/>
      <c r="GU247" s="33"/>
      <c r="GV247" s="33"/>
      <c r="GW247" s="33"/>
      <c r="GX247" s="33"/>
      <c r="GY247" s="33"/>
      <c r="GZ247" s="33"/>
      <c r="HA247" s="33"/>
      <c r="HB247" s="33"/>
      <c r="HC247" s="33"/>
      <c r="HD247" s="33"/>
      <c r="HE247" s="33"/>
      <c r="HF247" s="33"/>
      <c r="HG247" s="33"/>
      <c r="HH247" s="33"/>
      <c r="HI247" s="33"/>
      <c r="HJ247" s="33"/>
      <c r="HK247" s="33"/>
      <c r="HL247" s="33"/>
      <c r="HM247" s="33"/>
      <c r="HN247" s="33"/>
      <c r="HO247" s="33"/>
      <c r="HP247" s="33"/>
      <c r="HQ247" s="33"/>
      <c r="HR247" s="33"/>
      <c r="HS247" s="33"/>
      <c r="HT247" s="33"/>
      <c r="HU247" s="33"/>
      <c r="HV247" s="33"/>
      <c r="HW247" s="33"/>
      <c r="HX247" s="33"/>
      <c r="HY247" s="33"/>
      <c r="HZ247" s="33"/>
      <c r="IA247" s="33"/>
      <c r="IB247" s="33"/>
      <c r="IC247" s="33"/>
      <c r="ID247" s="33"/>
      <c r="IE247" s="33"/>
      <c r="IF247" s="33"/>
      <c r="IG247" s="33"/>
      <c r="IH247" s="33"/>
      <c r="II247" s="33"/>
      <c r="IJ247" s="33"/>
      <c r="IK247" s="33"/>
      <c r="IL247" s="33"/>
      <c r="IM247" s="33"/>
      <c r="IN247" s="33"/>
      <c r="IO247" s="33"/>
      <c r="IP247" s="33"/>
      <c r="IQ247" s="33"/>
      <c r="IR247" s="33"/>
      <c r="IS247" s="33"/>
      <c r="IT247" s="33"/>
      <c r="IU247" s="33"/>
      <c r="IV247" s="33"/>
      <c r="IW247" s="33"/>
      <c r="IX247" s="33"/>
      <c r="IY247" s="33"/>
      <c r="IZ247" s="33"/>
      <c r="JA247" s="33"/>
      <c r="JB247" s="33"/>
      <c r="JC247" s="33"/>
      <c r="JD247" s="33"/>
      <c r="JE247" s="33"/>
      <c r="JF247" s="33"/>
      <c r="JG247" s="33"/>
      <c r="JH247" s="33"/>
      <c r="JI247" s="33"/>
      <c r="JJ247" s="33"/>
      <c r="JK247" s="33"/>
      <c r="JL247" s="33"/>
      <c r="JM247" s="33"/>
      <c r="JN247" s="33"/>
      <c r="JO247" s="33"/>
      <c r="JP247" s="33"/>
      <c r="JQ247" s="33"/>
      <c r="JR247" s="33"/>
      <c r="JS247" s="33"/>
      <c r="JT247" s="33"/>
      <c r="JU247" s="33"/>
      <c r="JV247" s="33"/>
      <c r="JW247" s="33"/>
      <c r="JX247" s="33"/>
      <c r="JY247" s="33"/>
      <c r="JZ247" s="33"/>
      <c r="KA247" s="33"/>
      <c r="KB247" s="33"/>
      <c r="KC247" s="33"/>
      <c r="KD247" s="33"/>
      <c r="KE247" s="33"/>
      <c r="KF247" s="33"/>
      <c r="KG247" s="33"/>
    </row>
    <row r="248" spans="1:293" s="20" customFormat="1">
      <c r="A248" s="25"/>
      <c r="B248" s="28">
        <v>3400</v>
      </c>
      <c r="C248" s="28">
        <v>13.0626</v>
      </c>
      <c r="D248" s="28">
        <v>5.0764500000000004</v>
      </c>
      <c r="E248" s="29">
        <v>0.38200000000000001</v>
      </c>
      <c r="F248" s="19"/>
      <c r="G248" s="19"/>
      <c r="H248" s="32">
        <v>0.195939</v>
      </c>
      <c r="I248" s="32">
        <v>0.195939</v>
      </c>
      <c r="J248" s="19">
        <f t="shared" si="76"/>
        <v>0.195939</v>
      </c>
      <c r="K248" s="19">
        <v>200</v>
      </c>
      <c r="L248" s="19">
        <v>6.8</v>
      </c>
      <c r="M248" s="19">
        <f t="shared" si="77"/>
        <v>3.6756756756756754</v>
      </c>
      <c r="N248" s="19">
        <v>0.66785186200000002</v>
      </c>
      <c r="O248" s="20">
        <f t="shared" si="75"/>
        <v>0.58197319941563153</v>
      </c>
      <c r="P248" s="20">
        <f t="shared" si="62"/>
        <v>1.1475646347127335</v>
      </c>
      <c r="Q248" s="21">
        <v>13.0031026</v>
      </c>
      <c r="R248" s="20">
        <f t="shared" si="68"/>
        <v>76.0968880796039</v>
      </c>
      <c r="S248" s="20">
        <f t="shared" si="69"/>
        <v>81.823135998210134</v>
      </c>
      <c r="T248" s="20">
        <f t="shared" si="70"/>
        <v>70.370640160997638</v>
      </c>
      <c r="U248">
        <f t="shared" si="71"/>
        <v>5.7262479186062336</v>
      </c>
      <c r="V248">
        <f t="shared" si="72"/>
        <v>5.726247918606262</v>
      </c>
      <c r="W248">
        <f t="shared" si="73"/>
        <v>5.7262479186062478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  <c r="GE248" s="33"/>
      <c r="GF248" s="33"/>
      <c r="GG248" s="33"/>
      <c r="GH248" s="33"/>
      <c r="GI248" s="33"/>
      <c r="GJ248" s="33"/>
      <c r="GK248" s="33"/>
      <c r="GL248" s="33"/>
      <c r="GM248" s="33"/>
      <c r="GN248" s="33"/>
      <c r="GO248" s="33"/>
      <c r="GP248" s="33"/>
      <c r="GQ248" s="33"/>
      <c r="GR248" s="33"/>
      <c r="GS248" s="33"/>
      <c r="GT248" s="33"/>
      <c r="GU248" s="33"/>
      <c r="GV248" s="33"/>
      <c r="GW248" s="33"/>
      <c r="GX248" s="33"/>
      <c r="GY248" s="33"/>
      <c r="GZ248" s="33"/>
      <c r="HA248" s="33"/>
      <c r="HB248" s="33"/>
      <c r="HC248" s="33"/>
      <c r="HD248" s="33"/>
      <c r="HE248" s="33"/>
      <c r="HF248" s="33"/>
      <c r="HG248" s="33"/>
      <c r="HH248" s="33"/>
      <c r="HI248" s="33"/>
      <c r="HJ248" s="33"/>
      <c r="HK248" s="33"/>
      <c r="HL248" s="33"/>
      <c r="HM248" s="33"/>
      <c r="HN248" s="33"/>
      <c r="HO248" s="33"/>
      <c r="HP248" s="33"/>
      <c r="HQ248" s="33"/>
      <c r="HR248" s="33"/>
      <c r="HS248" s="33"/>
      <c r="HT248" s="33"/>
      <c r="HU248" s="33"/>
      <c r="HV248" s="33"/>
      <c r="HW248" s="33"/>
      <c r="HX248" s="33"/>
      <c r="HY248" s="33"/>
      <c r="HZ248" s="33"/>
      <c r="IA248" s="33"/>
      <c r="IB248" s="33"/>
      <c r="IC248" s="33"/>
      <c r="ID248" s="33"/>
      <c r="IE248" s="33"/>
      <c r="IF248" s="33"/>
      <c r="IG248" s="33"/>
      <c r="IH248" s="33"/>
      <c r="II248" s="33"/>
      <c r="IJ248" s="33"/>
      <c r="IK248" s="33"/>
      <c r="IL248" s="33"/>
      <c r="IM248" s="33"/>
      <c r="IN248" s="33"/>
      <c r="IO248" s="33"/>
      <c r="IP248" s="33"/>
      <c r="IQ248" s="33"/>
      <c r="IR248" s="33"/>
      <c r="IS248" s="33"/>
      <c r="IT248" s="33"/>
      <c r="IU248" s="33"/>
      <c r="IV248" s="33"/>
      <c r="IW248" s="33"/>
      <c r="IX248" s="33"/>
      <c r="IY248" s="33"/>
      <c r="IZ248" s="33"/>
      <c r="JA248" s="33"/>
      <c r="JB248" s="33"/>
      <c r="JC248" s="33"/>
      <c r="JD248" s="33"/>
      <c r="JE248" s="33"/>
      <c r="JF248" s="33"/>
      <c r="JG248" s="33"/>
      <c r="JH248" s="33"/>
      <c r="JI248" s="33"/>
      <c r="JJ248" s="33"/>
      <c r="JK248" s="33"/>
      <c r="JL248" s="33"/>
      <c r="JM248" s="33"/>
      <c r="JN248" s="33"/>
      <c r="JO248" s="33"/>
      <c r="JP248" s="33"/>
      <c r="JQ248" s="33"/>
      <c r="JR248" s="33"/>
      <c r="JS248" s="33"/>
      <c r="JT248" s="33"/>
      <c r="JU248" s="33"/>
      <c r="JV248" s="33"/>
      <c r="JW248" s="33"/>
      <c r="JX248" s="33"/>
      <c r="JY248" s="33"/>
      <c r="JZ248" s="33"/>
      <c r="KA248" s="33"/>
      <c r="KB248" s="33"/>
      <c r="KC248" s="33"/>
      <c r="KD248" s="33"/>
      <c r="KE248" s="33"/>
      <c r="KF248" s="33"/>
      <c r="KG248" s="33"/>
    </row>
    <row r="249" spans="1:293" s="20" customFormat="1">
      <c r="A249" s="25"/>
      <c r="B249" s="28">
        <v>3400</v>
      </c>
      <c r="C249" s="28">
        <v>14.0654</v>
      </c>
      <c r="D249" s="28">
        <v>5.0917300000000001</v>
      </c>
      <c r="E249" s="29">
        <v>0.38300000000000001</v>
      </c>
      <c r="F249" s="19"/>
      <c r="G249" s="19"/>
      <c r="H249" s="32">
        <v>0.210981</v>
      </c>
      <c r="I249" s="32">
        <v>0.210981</v>
      </c>
      <c r="J249" s="19">
        <f t="shared" si="76"/>
        <v>0.210981</v>
      </c>
      <c r="K249" s="19">
        <v>200</v>
      </c>
      <c r="L249" s="19">
        <v>6.8</v>
      </c>
      <c r="M249" s="19">
        <f t="shared" si="77"/>
        <v>3.6756756756756754</v>
      </c>
      <c r="N249" s="19">
        <v>0.66785186200000002</v>
      </c>
      <c r="O249" s="20">
        <f t="shared" si="75"/>
        <v>0.58197319941563153</v>
      </c>
      <c r="P249" s="20">
        <f t="shared" si="62"/>
        <v>1.1475646347127335</v>
      </c>
      <c r="Q249" s="21">
        <v>14.04583558</v>
      </c>
      <c r="R249" s="20">
        <f t="shared" si="68"/>
        <v>82.185387923831016</v>
      </c>
      <c r="S249" s="20">
        <f t="shared" si="69"/>
        <v>88.36737392364391</v>
      </c>
      <c r="T249" s="20">
        <f t="shared" si="70"/>
        <v>76.003401924018135</v>
      </c>
      <c r="U249">
        <f t="shared" si="71"/>
        <v>6.1819859998128948</v>
      </c>
      <c r="V249">
        <f t="shared" si="72"/>
        <v>6.1819859998128806</v>
      </c>
      <c r="W249">
        <f t="shared" si="73"/>
        <v>6.1819859998128877</v>
      </c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  <c r="GE249" s="33"/>
      <c r="GF249" s="33"/>
      <c r="GG249" s="33"/>
      <c r="GH249" s="33"/>
      <c r="GI249" s="33"/>
      <c r="GJ249" s="33"/>
      <c r="GK249" s="33"/>
      <c r="GL249" s="33"/>
      <c r="GM249" s="33"/>
      <c r="GN249" s="33"/>
      <c r="GO249" s="33"/>
      <c r="GP249" s="33"/>
      <c r="GQ249" s="33"/>
      <c r="GR249" s="33"/>
      <c r="GS249" s="33"/>
      <c r="GT249" s="33"/>
      <c r="GU249" s="33"/>
      <c r="GV249" s="33"/>
      <c r="GW249" s="33"/>
      <c r="GX249" s="33"/>
      <c r="GY249" s="33"/>
      <c r="GZ249" s="33"/>
      <c r="HA249" s="33"/>
      <c r="HB249" s="33"/>
      <c r="HC249" s="33"/>
      <c r="HD249" s="33"/>
      <c r="HE249" s="33"/>
      <c r="HF249" s="33"/>
      <c r="HG249" s="33"/>
      <c r="HH249" s="33"/>
      <c r="HI249" s="33"/>
      <c r="HJ249" s="33"/>
      <c r="HK249" s="33"/>
      <c r="HL249" s="33"/>
      <c r="HM249" s="33"/>
      <c r="HN249" s="33"/>
      <c r="HO249" s="33"/>
      <c r="HP249" s="33"/>
      <c r="HQ249" s="33"/>
      <c r="HR249" s="33"/>
      <c r="HS249" s="33"/>
      <c r="HT249" s="33"/>
      <c r="HU249" s="33"/>
      <c r="HV249" s="33"/>
      <c r="HW249" s="33"/>
      <c r="HX249" s="33"/>
      <c r="HY249" s="33"/>
      <c r="HZ249" s="33"/>
      <c r="IA249" s="33"/>
      <c r="IB249" s="33"/>
      <c r="IC249" s="33"/>
      <c r="ID249" s="33"/>
      <c r="IE249" s="33"/>
      <c r="IF249" s="33"/>
      <c r="IG249" s="33"/>
      <c r="IH249" s="33"/>
      <c r="II249" s="33"/>
      <c r="IJ249" s="33"/>
      <c r="IK249" s="33"/>
      <c r="IL249" s="33"/>
      <c r="IM249" s="33"/>
      <c r="IN249" s="33"/>
      <c r="IO249" s="33"/>
      <c r="IP249" s="33"/>
      <c r="IQ249" s="33"/>
      <c r="IR249" s="33"/>
      <c r="IS249" s="33"/>
      <c r="IT249" s="33"/>
      <c r="IU249" s="33"/>
      <c r="IV249" s="33"/>
      <c r="IW249" s="33"/>
      <c r="IX249" s="33"/>
      <c r="IY249" s="33"/>
      <c r="IZ249" s="33"/>
      <c r="JA249" s="33"/>
      <c r="JB249" s="33"/>
      <c r="JC249" s="33"/>
      <c r="JD249" s="33"/>
      <c r="JE249" s="33"/>
      <c r="JF249" s="33"/>
      <c r="JG249" s="33"/>
      <c r="JH249" s="33"/>
      <c r="JI249" s="33"/>
      <c r="JJ249" s="33"/>
      <c r="JK249" s="33"/>
      <c r="JL249" s="33"/>
      <c r="JM249" s="33"/>
      <c r="JN249" s="33"/>
      <c r="JO249" s="33"/>
      <c r="JP249" s="33"/>
      <c r="JQ249" s="33"/>
      <c r="JR249" s="33"/>
      <c r="JS249" s="33"/>
      <c r="JT249" s="33"/>
      <c r="JU249" s="33"/>
      <c r="JV249" s="33"/>
      <c r="JW249" s="33"/>
      <c r="JX249" s="33"/>
      <c r="JY249" s="33"/>
      <c r="JZ249" s="33"/>
      <c r="KA249" s="33"/>
      <c r="KB249" s="33"/>
      <c r="KC249" s="33"/>
      <c r="KD249" s="33"/>
      <c r="KE249" s="33"/>
      <c r="KF249" s="33"/>
      <c r="KG249" s="33"/>
    </row>
    <row r="250" spans="1:293" s="20" customFormat="1">
      <c r="A250" s="25"/>
      <c r="B250" s="28">
        <v>3400</v>
      </c>
      <c r="C250" s="28">
        <v>15.145200000000001</v>
      </c>
      <c r="D250" s="28">
        <v>5.0982799999999999</v>
      </c>
      <c r="E250" s="29">
        <v>0.38300000000000001</v>
      </c>
      <c r="F250" s="19"/>
      <c r="G250" s="19"/>
      <c r="H250" s="32">
        <v>0.22717799999999999</v>
      </c>
      <c r="I250" s="32">
        <v>0.22717799999999999</v>
      </c>
      <c r="J250" s="19">
        <f t="shared" si="76"/>
        <v>0.22717799999999999</v>
      </c>
      <c r="K250" s="19">
        <v>200</v>
      </c>
      <c r="L250" s="19">
        <v>6.8</v>
      </c>
      <c r="M250" s="19">
        <f t="shared" si="77"/>
        <v>3.6756756756756754</v>
      </c>
      <c r="N250" s="19">
        <v>0.66785186200000002</v>
      </c>
      <c r="O250" s="20">
        <f t="shared" si="75"/>
        <v>0.58197319941563153</v>
      </c>
      <c r="P250" s="20">
        <f t="shared" si="62"/>
        <v>1.1475646347127335</v>
      </c>
      <c r="Q250" s="21">
        <v>15.16118443</v>
      </c>
      <c r="R250" s="20">
        <f t="shared" si="68"/>
        <v>88.608595353863862</v>
      </c>
      <c r="S250" s="20">
        <f t="shared" si="69"/>
        <v>95.265172085728324</v>
      </c>
      <c r="T250" s="20">
        <f t="shared" si="70"/>
        <v>81.952018621999429</v>
      </c>
      <c r="U250">
        <f t="shared" si="71"/>
        <v>6.6565767318644617</v>
      </c>
      <c r="V250">
        <f t="shared" si="72"/>
        <v>6.6565767318644333</v>
      </c>
      <c r="W250">
        <f t="shared" si="73"/>
        <v>6.6565767318644475</v>
      </c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  <c r="GE250" s="33"/>
      <c r="GF250" s="33"/>
      <c r="GG250" s="33"/>
      <c r="GH250" s="33"/>
      <c r="GI250" s="33"/>
      <c r="GJ250" s="33"/>
      <c r="GK250" s="33"/>
      <c r="GL250" s="33"/>
      <c r="GM250" s="33"/>
      <c r="GN250" s="33"/>
      <c r="GO250" s="33"/>
      <c r="GP250" s="33"/>
      <c r="GQ250" s="33"/>
      <c r="GR250" s="33"/>
      <c r="GS250" s="33"/>
      <c r="GT250" s="33"/>
      <c r="GU250" s="33"/>
      <c r="GV250" s="33"/>
      <c r="GW250" s="33"/>
      <c r="GX250" s="33"/>
      <c r="GY250" s="33"/>
      <c r="GZ250" s="33"/>
      <c r="HA250" s="33"/>
      <c r="HB250" s="33"/>
      <c r="HC250" s="33"/>
      <c r="HD250" s="33"/>
      <c r="HE250" s="33"/>
      <c r="HF250" s="33"/>
      <c r="HG250" s="33"/>
      <c r="HH250" s="33"/>
      <c r="HI250" s="33"/>
      <c r="HJ250" s="33"/>
      <c r="HK250" s="33"/>
      <c r="HL250" s="33"/>
      <c r="HM250" s="33"/>
      <c r="HN250" s="33"/>
      <c r="HO250" s="33"/>
      <c r="HP250" s="33"/>
      <c r="HQ250" s="33"/>
      <c r="HR250" s="33"/>
      <c r="HS250" s="33"/>
      <c r="HT250" s="33"/>
      <c r="HU250" s="33"/>
      <c r="HV250" s="33"/>
      <c r="HW250" s="33"/>
      <c r="HX250" s="33"/>
      <c r="HY250" s="33"/>
      <c r="HZ250" s="33"/>
      <c r="IA250" s="33"/>
      <c r="IB250" s="33"/>
      <c r="IC250" s="33"/>
      <c r="ID250" s="33"/>
      <c r="IE250" s="33"/>
      <c r="IF250" s="33"/>
      <c r="IG250" s="33"/>
      <c r="IH250" s="33"/>
      <c r="II250" s="33"/>
      <c r="IJ250" s="33"/>
      <c r="IK250" s="33"/>
      <c r="IL250" s="33"/>
      <c r="IM250" s="33"/>
      <c r="IN250" s="33"/>
      <c r="IO250" s="33"/>
      <c r="IP250" s="33"/>
      <c r="IQ250" s="33"/>
      <c r="IR250" s="33"/>
      <c r="IS250" s="33"/>
      <c r="IT250" s="33"/>
      <c r="IU250" s="33"/>
      <c r="IV250" s="33"/>
      <c r="IW250" s="33"/>
      <c r="IX250" s="33"/>
      <c r="IY250" s="33"/>
      <c r="IZ250" s="33"/>
      <c r="JA250" s="33"/>
      <c r="JB250" s="33"/>
      <c r="JC250" s="33"/>
      <c r="JD250" s="33"/>
      <c r="JE250" s="33"/>
      <c r="JF250" s="33"/>
      <c r="JG250" s="33"/>
      <c r="JH250" s="33"/>
      <c r="JI250" s="33"/>
      <c r="JJ250" s="33"/>
      <c r="JK250" s="33"/>
      <c r="JL250" s="33"/>
      <c r="JM250" s="33"/>
      <c r="JN250" s="33"/>
      <c r="JO250" s="33"/>
      <c r="JP250" s="33"/>
      <c r="JQ250" s="33"/>
      <c r="JR250" s="33"/>
      <c r="JS250" s="33"/>
      <c r="JT250" s="33"/>
      <c r="JU250" s="33"/>
      <c r="JV250" s="33"/>
      <c r="JW250" s="33"/>
      <c r="JX250" s="33"/>
      <c r="JY250" s="33"/>
      <c r="JZ250" s="33"/>
      <c r="KA250" s="33"/>
      <c r="KB250" s="33"/>
      <c r="KC250" s="33"/>
      <c r="KD250" s="33"/>
      <c r="KE250" s="33"/>
      <c r="KF250" s="33"/>
      <c r="KG250" s="33"/>
    </row>
    <row r="251" spans="1:293" s="20" customFormat="1">
      <c r="A251" s="25"/>
      <c r="B251" s="28">
        <v>3400</v>
      </c>
      <c r="C251" s="28">
        <v>16.3079</v>
      </c>
      <c r="D251" s="28">
        <v>5.0947399999999998</v>
      </c>
      <c r="E251" s="29">
        <v>0.38300000000000001</v>
      </c>
      <c r="F251" s="19"/>
      <c r="G251" s="19"/>
      <c r="H251" s="32">
        <v>0.24461849999999999</v>
      </c>
      <c r="I251" s="32">
        <v>0.24461849999999999</v>
      </c>
      <c r="J251" s="19">
        <f t="shared" si="76"/>
        <v>0.24461849999999999</v>
      </c>
      <c r="K251" s="19">
        <v>200</v>
      </c>
      <c r="L251" s="19">
        <v>6.8</v>
      </c>
      <c r="M251" s="19">
        <f t="shared" si="77"/>
        <v>3.6756756756756754</v>
      </c>
      <c r="N251" s="19">
        <v>0.66785186200000002</v>
      </c>
      <c r="O251" s="20">
        <f t="shared" si="75"/>
        <v>0.58197319941563153</v>
      </c>
      <c r="P251" s="20">
        <f t="shared" si="62"/>
        <v>1.1475646347127335</v>
      </c>
      <c r="Q251" s="21">
        <v>16.36229114</v>
      </c>
      <c r="R251" s="20">
        <f t="shared" si="68"/>
        <v>95.344845880250276</v>
      </c>
      <c r="S251" s="20">
        <f t="shared" si="69"/>
        <v>102.51244932461366</v>
      </c>
      <c r="T251" s="20">
        <f t="shared" si="70"/>
        <v>88.177242435886896</v>
      </c>
      <c r="U251">
        <f t="shared" si="71"/>
        <v>7.1676034443633796</v>
      </c>
      <c r="V251">
        <f t="shared" si="72"/>
        <v>7.1676034443633796</v>
      </c>
      <c r="W251">
        <f t="shared" si="73"/>
        <v>7.1676034443633796</v>
      </c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  <c r="GE251" s="33"/>
      <c r="GF251" s="33"/>
      <c r="GG251" s="33"/>
      <c r="GH251" s="33"/>
      <c r="GI251" s="33"/>
      <c r="GJ251" s="33"/>
      <c r="GK251" s="33"/>
      <c r="GL251" s="33"/>
      <c r="GM251" s="33"/>
      <c r="GN251" s="33"/>
      <c r="GO251" s="33"/>
      <c r="GP251" s="33"/>
      <c r="GQ251" s="33"/>
      <c r="GR251" s="33"/>
      <c r="GS251" s="33"/>
      <c r="GT251" s="33"/>
      <c r="GU251" s="33"/>
      <c r="GV251" s="33"/>
      <c r="GW251" s="33"/>
      <c r="GX251" s="33"/>
      <c r="GY251" s="33"/>
      <c r="GZ251" s="33"/>
      <c r="HA251" s="33"/>
      <c r="HB251" s="33"/>
      <c r="HC251" s="33"/>
      <c r="HD251" s="33"/>
      <c r="HE251" s="33"/>
      <c r="HF251" s="33"/>
      <c r="HG251" s="33"/>
      <c r="HH251" s="33"/>
      <c r="HI251" s="33"/>
      <c r="HJ251" s="33"/>
      <c r="HK251" s="33"/>
      <c r="HL251" s="33"/>
      <c r="HM251" s="33"/>
      <c r="HN251" s="33"/>
      <c r="HO251" s="33"/>
      <c r="HP251" s="33"/>
      <c r="HQ251" s="33"/>
      <c r="HR251" s="33"/>
      <c r="HS251" s="33"/>
      <c r="HT251" s="33"/>
      <c r="HU251" s="33"/>
      <c r="HV251" s="33"/>
      <c r="HW251" s="33"/>
      <c r="HX251" s="33"/>
      <c r="HY251" s="33"/>
      <c r="HZ251" s="33"/>
      <c r="IA251" s="33"/>
      <c r="IB251" s="33"/>
      <c r="IC251" s="33"/>
      <c r="ID251" s="33"/>
      <c r="IE251" s="33"/>
      <c r="IF251" s="33"/>
      <c r="IG251" s="33"/>
      <c r="IH251" s="33"/>
      <c r="II251" s="33"/>
      <c r="IJ251" s="33"/>
      <c r="IK251" s="33"/>
      <c r="IL251" s="33"/>
      <c r="IM251" s="33"/>
      <c r="IN251" s="33"/>
      <c r="IO251" s="33"/>
      <c r="IP251" s="33"/>
      <c r="IQ251" s="33"/>
      <c r="IR251" s="33"/>
      <c r="IS251" s="33"/>
      <c r="IT251" s="33"/>
      <c r="IU251" s="33"/>
      <c r="IV251" s="33"/>
      <c r="IW251" s="33"/>
      <c r="IX251" s="33"/>
      <c r="IY251" s="33"/>
      <c r="IZ251" s="33"/>
      <c r="JA251" s="33"/>
      <c r="JB251" s="33"/>
      <c r="JC251" s="33"/>
      <c r="JD251" s="33"/>
      <c r="JE251" s="33"/>
      <c r="JF251" s="33"/>
      <c r="JG251" s="33"/>
      <c r="JH251" s="33"/>
      <c r="JI251" s="33"/>
      <c r="JJ251" s="33"/>
      <c r="JK251" s="33"/>
      <c r="JL251" s="33"/>
      <c r="JM251" s="33"/>
      <c r="JN251" s="33"/>
      <c r="JO251" s="33"/>
      <c r="JP251" s="33"/>
      <c r="JQ251" s="33"/>
      <c r="JR251" s="33"/>
      <c r="JS251" s="33"/>
      <c r="JT251" s="33"/>
      <c r="JU251" s="33"/>
      <c r="JV251" s="33"/>
      <c r="JW251" s="33"/>
      <c r="JX251" s="33"/>
      <c r="JY251" s="33"/>
      <c r="JZ251" s="33"/>
      <c r="KA251" s="33"/>
      <c r="KB251" s="33"/>
      <c r="KC251" s="33"/>
      <c r="KD251" s="33"/>
      <c r="KE251" s="33"/>
      <c r="KF251" s="33"/>
      <c r="KG251" s="33"/>
    </row>
    <row r="252" spans="1:293" s="20" customFormat="1">
      <c r="A252" s="25"/>
      <c r="B252" s="28">
        <v>3400</v>
      </c>
      <c r="C252" s="28">
        <v>17.559899999999999</v>
      </c>
      <c r="D252" s="28">
        <v>5.0797699999999999</v>
      </c>
      <c r="E252" s="29">
        <v>0.38200000000000001</v>
      </c>
      <c r="F252" s="19"/>
      <c r="G252" s="19"/>
      <c r="H252" s="32">
        <v>0.26339849999999998</v>
      </c>
      <c r="I252" s="32">
        <v>0.26339849999999998</v>
      </c>
      <c r="J252" s="19">
        <f t="shared" si="76"/>
        <v>0.26339849999999998</v>
      </c>
      <c r="K252" s="19">
        <v>200</v>
      </c>
      <c r="L252" s="19">
        <v>6.8</v>
      </c>
      <c r="M252" s="19">
        <f t="shared" si="77"/>
        <v>3.6756756756756754</v>
      </c>
      <c r="N252" s="19">
        <v>0.66785186200000002</v>
      </c>
      <c r="O252" s="20">
        <f t="shared" si="75"/>
        <v>0.58197319941563153</v>
      </c>
      <c r="P252" s="20">
        <f t="shared" si="62"/>
        <v>1.1475646347127335</v>
      </c>
      <c r="Q252" s="21">
        <v>17.655856350000001</v>
      </c>
      <c r="R252" s="20">
        <f t="shared" si="68"/>
        <v>102.36305600613531</v>
      </c>
      <c r="S252" s="20">
        <f t="shared" si="69"/>
        <v>110.06078393364851</v>
      </c>
      <c r="T252" s="20">
        <f t="shared" si="70"/>
        <v>94.665328078622125</v>
      </c>
      <c r="U252">
        <f t="shared" si="71"/>
        <v>7.6977279275131991</v>
      </c>
      <c r="V252">
        <f t="shared" si="72"/>
        <v>7.6977279275131849</v>
      </c>
      <c r="W252">
        <f t="shared" si="73"/>
        <v>7.697727927513192</v>
      </c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  <c r="GE252" s="33"/>
      <c r="GF252" s="33"/>
      <c r="GG252" s="33"/>
      <c r="GH252" s="33"/>
      <c r="GI252" s="33"/>
      <c r="GJ252" s="33"/>
      <c r="GK252" s="33"/>
      <c r="GL252" s="33"/>
      <c r="GM252" s="33"/>
      <c r="GN252" s="33"/>
      <c r="GO252" s="33"/>
      <c r="GP252" s="33"/>
      <c r="GQ252" s="33"/>
      <c r="GR252" s="33"/>
      <c r="GS252" s="33"/>
      <c r="GT252" s="33"/>
      <c r="GU252" s="33"/>
      <c r="GV252" s="33"/>
      <c r="GW252" s="33"/>
      <c r="GX252" s="33"/>
      <c r="GY252" s="33"/>
      <c r="GZ252" s="33"/>
      <c r="HA252" s="33"/>
      <c r="HB252" s="33"/>
      <c r="HC252" s="33"/>
      <c r="HD252" s="33"/>
      <c r="HE252" s="33"/>
      <c r="HF252" s="33"/>
      <c r="HG252" s="33"/>
      <c r="HH252" s="33"/>
      <c r="HI252" s="33"/>
      <c r="HJ252" s="33"/>
      <c r="HK252" s="33"/>
      <c r="HL252" s="33"/>
      <c r="HM252" s="33"/>
      <c r="HN252" s="33"/>
      <c r="HO252" s="33"/>
      <c r="HP252" s="33"/>
      <c r="HQ252" s="33"/>
      <c r="HR252" s="33"/>
      <c r="HS252" s="33"/>
      <c r="HT252" s="33"/>
      <c r="HU252" s="33"/>
      <c r="HV252" s="33"/>
      <c r="HW252" s="33"/>
      <c r="HX252" s="33"/>
      <c r="HY252" s="33"/>
      <c r="HZ252" s="33"/>
      <c r="IA252" s="33"/>
      <c r="IB252" s="33"/>
      <c r="IC252" s="33"/>
      <c r="ID252" s="33"/>
      <c r="IE252" s="33"/>
      <c r="IF252" s="33"/>
      <c r="IG252" s="33"/>
      <c r="IH252" s="33"/>
      <c r="II252" s="33"/>
      <c r="IJ252" s="33"/>
      <c r="IK252" s="33"/>
      <c r="IL252" s="33"/>
      <c r="IM252" s="33"/>
      <c r="IN252" s="33"/>
      <c r="IO252" s="33"/>
      <c r="IP252" s="33"/>
      <c r="IQ252" s="33"/>
      <c r="IR252" s="33"/>
      <c r="IS252" s="33"/>
      <c r="IT252" s="33"/>
      <c r="IU252" s="33"/>
      <c r="IV252" s="33"/>
      <c r="IW252" s="33"/>
      <c r="IX252" s="33"/>
      <c r="IY252" s="33"/>
      <c r="IZ252" s="33"/>
      <c r="JA252" s="33"/>
      <c r="JB252" s="33"/>
      <c r="JC252" s="33"/>
      <c r="JD252" s="33"/>
      <c r="JE252" s="33"/>
      <c r="JF252" s="33"/>
      <c r="JG252" s="33"/>
      <c r="JH252" s="33"/>
      <c r="JI252" s="33"/>
      <c r="JJ252" s="33"/>
      <c r="JK252" s="33"/>
      <c r="JL252" s="33"/>
      <c r="JM252" s="33"/>
      <c r="JN252" s="33"/>
      <c r="JO252" s="33"/>
      <c r="JP252" s="33"/>
      <c r="JQ252" s="33"/>
      <c r="JR252" s="33"/>
      <c r="JS252" s="33"/>
      <c r="JT252" s="33"/>
      <c r="JU252" s="33"/>
      <c r="JV252" s="33"/>
      <c r="JW252" s="33"/>
      <c r="JX252" s="33"/>
      <c r="JY252" s="33"/>
      <c r="JZ252" s="33"/>
      <c r="KA252" s="33"/>
      <c r="KB252" s="33"/>
      <c r="KC252" s="33"/>
      <c r="KD252" s="33"/>
      <c r="KE252" s="33"/>
      <c r="KF252" s="33"/>
      <c r="KG252" s="33"/>
    </row>
    <row r="253" spans="1:293" s="20" customFormat="1">
      <c r="A253" s="25"/>
      <c r="B253" s="28">
        <v>3400</v>
      </c>
      <c r="C253" s="28">
        <v>18.908000000000001</v>
      </c>
      <c r="D253" s="28">
        <v>5.0521099999999999</v>
      </c>
      <c r="E253" s="29">
        <v>0.38</v>
      </c>
      <c r="F253" s="19"/>
      <c r="G253" s="19"/>
      <c r="H253" s="32">
        <v>0.28361999999999998</v>
      </c>
      <c r="I253" s="32">
        <v>0.28361999999999998</v>
      </c>
      <c r="J253" s="19">
        <f t="shared" si="76"/>
        <v>0.28361999999999998</v>
      </c>
      <c r="K253" s="19">
        <v>200</v>
      </c>
      <c r="L253" s="19">
        <v>6.8</v>
      </c>
      <c r="M253" s="19">
        <f t="shared" si="77"/>
        <v>3.6756756756756754</v>
      </c>
      <c r="N253" s="19">
        <v>0.66785186200000002</v>
      </c>
      <c r="O253" s="20">
        <f t="shared" si="75"/>
        <v>0.58197319941563153</v>
      </c>
      <c r="P253" s="20">
        <f t="shared" si="62"/>
        <v>1.1475646347127335</v>
      </c>
      <c r="Q253" s="21">
        <v>19.04697492</v>
      </c>
      <c r="R253" s="20">
        <f t="shared" si="68"/>
        <v>109.62145127235799</v>
      </c>
      <c r="S253" s="20">
        <f t="shared" si="69"/>
        <v>117.86674907535436</v>
      </c>
      <c r="T253" s="20">
        <f t="shared" si="70"/>
        <v>101.37615346936161</v>
      </c>
      <c r="U253">
        <f t="shared" si="71"/>
        <v>8.2452978029963759</v>
      </c>
      <c r="V253">
        <f t="shared" si="72"/>
        <v>8.2452978029963759</v>
      </c>
      <c r="W253">
        <f t="shared" si="73"/>
        <v>8.2452978029963759</v>
      </c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  <c r="GE253" s="33"/>
      <c r="GF253" s="33"/>
      <c r="GG253" s="33"/>
      <c r="GH253" s="33"/>
      <c r="GI253" s="33"/>
      <c r="GJ253" s="33"/>
      <c r="GK253" s="33"/>
      <c r="GL253" s="33"/>
      <c r="GM253" s="33"/>
      <c r="GN253" s="33"/>
      <c r="GO253" s="33"/>
      <c r="GP253" s="33"/>
      <c r="GQ253" s="33"/>
      <c r="GR253" s="33"/>
      <c r="GS253" s="33"/>
      <c r="GT253" s="33"/>
      <c r="GU253" s="33"/>
      <c r="GV253" s="33"/>
      <c r="GW253" s="33"/>
      <c r="GX253" s="33"/>
      <c r="GY253" s="33"/>
      <c r="GZ253" s="33"/>
      <c r="HA253" s="33"/>
      <c r="HB253" s="33"/>
      <c r="HC253" s="33"/>
      <c r="HD253" s="33"/>
      <c r="HE253" s="33"/>
      <c r="HF253" s="33"/>
      <c r="HG253" s="33"/>
      <c r="HH253" s="33"/>
      <c r="HI253" s="33"/>
      <c r="HJ253" s="33"/>
      <c r="HK253" s="33"/>
      <c r="HL253" s="33"/>
      <c r="HM253" s="33"/>
      <c r="HN253" s="33"/>
      <c r="HO253" s="33"/>
      <c r="HP253" s="33"/>
      <c r="HQ253" s="33"/>
      <c r="HR253" s="33"/>
      <c r="HS253" s="33"/>
      <c r="HT253" s="33"/>
      <c r="HU253" s="33"/>
      <c r="HV253" s="33"/>
      <c r="HW253" s="33"/>
      <c r="HX253" s="33"/>
      <c r="HY253" s="33"/>
      <c r="HZ253" s="33"/>
      <c r="IA253" s="33"/>
      <c r="IB253" s="33"/>
      <c r="IC253" s="33"/>
      <c r="ID253" s="33"/>
      <c r="IE253" s="33"/>
      <c r="IF253" s="33"/>
      <c r="IG253" s="33"/>
      <c r="IH253" s="33"/>
      <c r="II253" s="33"/>
      <c r="IJ253" s="33"/>
      <c r="IK253" s="33"/>
      <c r="IL253" s="33"/>
      <c r="IM253" s="33"/>
      <c r="IN253" s="33"/>
      <c r="IO253" s="33"/>
      <c r="IP253" s="33"/>
      <c r="IQ253" s="33"/>
      <c r="IR253" s="33"/>
      <c r="IS253" s="33"/>
      <c r="IT253" s="33"/>
      <c r="IU253" s="33"/>
      <c r="IV253" s="33"/>
      <c r="IW253" s="33"/>
      <c r="IX253" s="33"/>
      <c r="IY253" s="33"/>
      <c r="IZ253" s="33"/>
      <c r="JA253" s="33"/>
      <c r="JB253" s="33"/>
      <c r="JC253" s="33"/>
      <c r="JD253" s="33"/>
      <c r="JE253" s="33"/>
      <c r="JF253" s="33"/>
      <c r="JG253" s="33"/>
      <c r="JH253" s="33"/>
      <c r="JI253" s="33"/>
      <c r="JJ253" s="33"/>
      <c r="JK253" s="33"/>
      <c r="JL253" s="33"/>
      <c r="JM253" s="33"/>
      <c r="JN253" s="33"/>
      <c r="JO253" s="33"/>
      <c r="JP253" s="33"/>
      <c r="JQ253" s="33"/>
      <c r="JR253" s="33"/>
      <c r="JS253" s="33"/>
      <c r="JT253" s="33"/>
      <c r="JU253" s="33"/>
      <c r="JV253" s="33"/>
      <c r="JW253" s="33"/>
      <c r="JX253" s="33"/>
      <c r="JY253" s="33"/>
      <c r="JZ253" s="33"/>
      <c r="KA253" s="33"/>
      <c r="KB253" s="33"/>
      <c r="KC253" s="33"/>
      <c r="KD253" s="33"/>
      <c r="KE253" s="33"/>
      <c r="KF253" s="33"/>
      <c r="KG253" s="33"/>
    </row>
    <row r="254" spans="1:293" s="20" customFormat="1">
      <c r="A254" s="25"/>
      <c r="B254" s="28">
        <v>3400</v>
      </c>
      <c r="C254" s="28">
        <v>20.359500000000001</v>
      </c>
      <c r="D254" s="28">
        <v>5.0106799999999998</v>
      </c>
      <c r="E254" s="29">
        <v>0.377</v>
      </c>
      <c r="F254" s="19"/>
      <c r="G254" s="19"/>
      <c r="H254" s="32">
        <v>0.30539250000000001</v>
      </c>
      <c r="I254" s="32">
        <v>0.30539250000000001</v>
      </c>
      <c r="J254" s="19">
        <f t="shared" si="76"/>
        <v>0.30539250000000001</v>
      </c>
      <c r="K254" s="19">
        <v>200</v>
      </c>
      <c r="L254" s="19">
        <v>6.8</v>
      </c>
      <c r="M254" s="19">
        <f t="shared" si="77"/>
        <v>3.6756756756756754</v>
      </c>
      <c r="N254" s="19">
        <v>0.66785186200000002</v>
      </c>
      <c r="O254" s="20">
        <f t="shared" si="75"/>
        <v>0.58197319941563153</v>
      </c>
      <c r="P254" s="20">
        <f t="shared" ref="P254:P317" si="78">N254/O254</f>
        <v>1.1475646347127335</v>
      </c>
      <c r="Q254" s="21">
        <v>20.5403582</v>
      </c>
      <c r="R254" s="20">
        <f t="shared" si="68"/>
        <v>117.06873673665652</v>
      </c>
      <c r="S254" s="20">
        <f t="shared" si="69"/>
        <v>125.8769052386801</v>
      </c>
      <c r="T254" s="20">
        <f t="shared" si="70"/>
        <v>108.26056823463294</v>
      </c>
      <c r="U254">
        <f t="shared" si="71"/>
        <v>8.8081685020235767</v>
      </c>
      <c r="V254">
        <f t="shared" si="72"/>
        <v>8.8081685020235767</v>
      </c>
      <c r="W254">
        <f t="shared" si="73"/>
        <v>8.8081685020235767</v>
      </c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  <c r="GE254" s="33"/>
      <c r="GF254" s="33"/>
      <c r="GG254" s="33"/>
      <c r="GH254" s="33"/>
      <c r="GI254" s="33"/>
      <c r="GJ254" s="33"/>
      <c r="GK254" s="33"/>
      <c r="GL254" s="33"/>
      <c r="GM254" s="33"/>
      <c r="GN254" s="33"/>
      <c r="GO254" s="33"/>
      <c r="GP254" s="33"/>
      <c r="GQ254" s="33"/>
      <c r="GR254" s="33"/>
      <c r="GS254" s="33"/>
      <c r="GT254" s="33"/>
      <c r="GU254" s="33"/>
      <c r="GV254" s="33"/>
      <c r="GW254" s="33"/>
      <c r="GX254" s="33"/>
      <c r="GY254" s="33"/>
      <c r="GZ254" s="33"/>
      <c r="HA254" s="33"/>
      <c r="HB254" s="33"/>
      <c r="HC254" s="33"/>
      <c r="HD254" s="33"/>
      <c r="HE254" s="33"/>
      <c r="HF254" s="33"/>
      <c r="HG254" s="33"/>
      <c r="HH254" s="33"/>
      <c r="HI254" s="33"/>
      <c r="HJ254" s="33"/>
      <c r="HK254" s="33"/>
      <c r="HL254" s="33"/>
      <c r="HM254" s="33"/>
      <c r="HN254" s="33"/>
      <c r="HO254" s="33"/>
      <c r="HP254" s="33"/>
      <c r="HQ254" s="33"/>
      <c r="HR254" s="33"/>
      <c r="HS254" s="33"/>
      <c r="HT254" s="33"/>
      <c r="HU254" s="33"/>
      <c r="HV254" s="33"/>
      <c r="HW254" s="33"/>
      <c r="HX254" s="33"/>
      <c r="HY254" s="33"/>
      <c r="HZ254" s="33"/>
      <c r="IA254" s="33"/>
      <c r="IB254" s="33"/>
      <c r="IC254" s="33"/>
      <c r="ID254" s="33"/>
      <c r="IE254" s="33"/>
      <c r="IF254" s="33"/>
      <c r="IG254" s="33"/>
      <c r="IH254" s="33"/>
      <c r="II254" s="33"/>
      <c r="IJ254" s="33"/>
      <c r="IK254" s="33"/>
      <c r="IL254" s="33"/>
      <c r="IM254" s="33"/>
      <c r="IN254" s="33"/>
      <c r="IO254" s="33"/>
      <c r="IP254" s="33"/>
      <c r="IQ254" s="33"/>
      <c r="IR254" s="33"/>
      <c r="IS254" s="33"/>
      <c r="IT254" s="33"/>
      <c r="IU254" s="33"/>
      <c r="IV254" s="33"/>
      <c r="IW254" s="33"/>
      <c r="IX254" s="33"/>
      <c r="IY254" s="33"/>
      <c r="IZ254" s="33"/>
      <c r="JA254" s="33"/>
      <c r="JB254" s="33"/>
      <c r="JC254" s="33"/>
      <c r="JD254" s="33"/>
      <c r="JE254" s="33"/>
      <c r="JF254" s="33"/>
      <c r="JG254" s="33"/>
      <c r="JH254" s="33"/>
      <c r="JI254" s="33"/>
      <c r="JJ254" s="33"/>
      <c r="JK254" s="33"/>
      <c r="JL254" s="33"/>
      <c r="JM254" s="33"/>
      <c r="JN254" s="33"/>
      <c r="JO254" s="33"/>
      <c r="JP254" s="33"/>
      <c r="JQ254" s="33"/>
      <c r="JR254" s="33"/>
      <c r="JS254" s="33"/>
      <c r="JT254" s="33"/>
      <c r="JU254" s="33"/>
      <c r="JV254" s="33"/>
      <c r="JW254" s="33"/>
      <c r="JX254" s="33"/>
      <c r="JY254" s="33"/>
      <c r="JZ254" s="33"/>
      <c r="KA254" s="33"/>
      <c r="KB254" s="33"/>
      <c r="KC254" s="33"/>
      <c r="KD254" s="33"/>
      <c r="KE254" s="33"/>
      <c r="KF254" s="33"/>
      <c r="KG254" s="33"/>
    </row>
    <row r="255" spans="1:293" s="20" customFormat="1">
      <c r="A255" s="25"/>
      <c r="B255" s="28">
        <v>3400</v>
      </c>
      <c r="C255" s="28">
        <v>21.922499999999999</v>
      </c>
      <c r="D255" s="28">
        <v>4.9547400000000001</v>
      </c>
      <c r="E255" s="29">
        <v>0.372</v>
      </c>
      <c r="F255" s="19"/>
      <c r="G255" s="19"/>
      <c r="H255" s="32">
        <v>0.3288375</v>
      </c>
      <c r="I255" s="32">
        <v>0.3288375</v>
      </c>
      <c r="J255" s="19">
        <f t="shared" si="76"/>
        <v>0.3288375</v>
      </c>
      <c r="K255" s="19">
        <v>200</v>
      </c>
      <c r="L255" s="19">
        <v>6.8</v>
      </c>
      <c r="M255" s="19">
        <f t="shared" si="77"/>
        <v>3.6756756756756754</v>
      </c>
      <c r="N255" s="19">
        <v>0.66785186200000002</v>
      </c>
      <c r="O255" s="20">
        <f t="shared" si="75"/>
        <v>0.58197319941563153</v>
      </c>
      <c r="P255" s="20">
        <f t="shared" si="78"/>
        <v>1.1475646347127335</v>
      </c>
      <c r="Q255" s="21">
        <v>22.140702650000001</v>
      </c>
      <c r="R255" s="20">
        <f t="shared" si="68"/>
        <v>124.64880071946428</v>
      </c>
      <c r="S255" s="20">
        <f t="shared" si="69"/>
        <v>134.00738540153452</v>
      </c>
      <c r="T255" s="20">
        <f t="shared" si="70"/>
        <v>115.29021603739405</v>
      </c>
      <c r="U255">
        <f t="shared" si="71"/>
        <v>9.3585846820702443</v>
      </c>
      <c r="V255">
        <f t="shared" si="72"/>
        <v>9.3585846820702301</v>
      </c>
      <c r="W255">
        <f t="shared" si="73"/>
        <v>9.3585846820702372</v>
      </c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  <c r="GE255" s="33"/>
      <c r="GF255" s="33"/>
      <c r="GG255" s="33"/>
      <c r="GH255" s="33"/>
      <c r="GI255" s="33"/>
      <c r="GJ255" s="33"/>
      <c r="GK255" s="33"/>
      <c r="GL255" s="33"/>
      <c r="GM255" s="33"/>
      <c r="GN255" s="33"/>
      <c r="GO255" s="33"/>
      <c r="GP255" s="33"/>
      <c r="GQ255" s="33"/>
      <c r="GR255" s="33"/>
      <c r="GS255" s="33"/>
      <c r="GT255" s="33"/>
      <c r="GU255" s="33"/>
      <c r="GV255" s="33"/>
      <c r="GW255" s="33"/>
      <c r="GX255" s="33"/>
      <c r="GY255" s="33"/>
      <c r="GZ255" s="33"/>
      <c r="HA255" s="33"/>
      <c r="HB255" s="33"/>
      <c r="HC255" s="33"/>
      <c r="HD255" s="33"/>
      <c r="HE255" s="33"/>
      <c r="HF255" s="33"/>
      <c r="HG255" s="33"/>
      <c r="HH255" s="33"/>
      <c r="HI255" s="33"/>
      <c r="HJ255" s="33"/>
      <c r="HK255" s="33"/>
      <c r="HL255" s="33"/>
      <c r="HM255" s="33"/>
      <c r="HN255" s="33"/>
      <c r="HO255" s="33"/>
      <c r="HP255" s="33"/>
      <c r="HQ255" s="33"/>
      <c r="HR255" s="33"/>
      <c r="HS255" s="33"/>
      <c r="HT255" s="33"/>
      <c r="HU255" s="33"/>
      <c r="HV255" s="33"/>
      <c r="HW255" s="33"/>
      <c r="HX255" s="33"/>
      <c r="HY255" s="33"/>
      <c r="HZ255" s="33"/>
      <c r="IA255" s="33"/>
      <c r="IB255" s="33"/>
      <c r="IC255" s="33"/>
      <c r="ID255" s="33"/>
      <c r="IE255" s="33"/>
      <c r="IF255" s="33"/>
      <c r="IG255" s="33"/>
      <c r="IH255" s="33"/>
      <c r="II255" s="33"/>
      <c r="IJ255" s="33"/>
      <c r="IK255" s="33"/>
      <c r="IL255" s="33"/>
      <c r="IM255" s="33"/>
      <c r="IN255" s="33"/>
      <c r="IO255" s="33"/>
      <c r="IP255" s="33"/>
      <c r="IQ255" s="33"/>
      <c r="IR255" s="33"/>
      <c r="IS255" s="33"/>
      <c r="IT255" s="33"/>
      <c r="IU255" s="33"/>
      <c r="IV255" s="33"/>
      <c r="IW255" s="33"/>
      <c r="IX255" s="33"/>
      <c r="IY255" s="33"/>
      <c r="IZ255" s="33"/>
      <c r="JA255" s="33"/>
      <c r="JB255" s="33"/>
      <c r="JC255" s="33"/>
      <c r="JD255" s="33"/>
      <c r="JE255" s="33"/>
      <c r="JF255" s="33"/>
      <c r="JG255" s="33"/>
      <c r="JH255" s="33"/>
      <c r="JI255" s="33"/>
      <c r="JJ255" s="33"/>
      <c r="JK255" s="33"/>
      <c r="JL255" s="33"/>
      <c r="JM255" s="33"/>
      <c r="JN255" s="33"/>
      <c r="JO255" s="33"/>
      <c r="JP255" s="33"/>
      <c r="JQ255" s="33"/>
      <c r="JR255" s="33"/>
      <c r="JS255" s="33"/>
      <c r="JT255" s="33"/>
      <c r="JU255" s="33"/>
      <c r="JV255" s="33"/>
      <c r="JW255" s="33"/>
      <c r="JX255" s="33"/>
      <c r="JY255" s="33"/>
      <c r="JZ255" s="33"/>
      <c r="KA255" s="33"/>
      <c r="KB255" s="33"/>
      <c r="KC255" s="33"/>
      <c r="KD255" s="33"/>
      <c r="KE255" s="33"/>
      <c r="KF255" s="33"/>
      <c r="KG255" s="33"/>
    </row>
    <row r="256" spans="1:293" s="20" customFormat="1">
      <c r="A256" s="25"/>
      <c r="B256" s="28">
        <v>3400</v>
      </c>
      <c r="C256" s="28">
        <v>23.605499999999999</v>
      </c>
      <c r="D256" s="28">
        <v>4.8841000000000001</v>
      </c>
      <c r="E256" s="29">
        <v>0.36699999999999999</v>
      </c>
      <c r="F256" s="19"/>
      <c r="G256" s="19"/>
      <c r="H256" s="32">
        <v>0.35408250000000002</v>
      </c>
      <c r="I256" s="32">
        <v>0.35408250000000002</v>
      </c>
      <c r="J256" s="19">
        <f t="shared" si="76"/>
        <v>0.35408249999999997</v>
      </c>
      <c r="K256" s="19">
        <v>200</v>
      </c>
      <c r="L256" s="19">
        <v>6.8</v>
      </c>
      <c r="M256" s="19">
        <f t="shared" si="77"/>
        <v>3.6756756756756754</v>
      </c>
      <c r="N256" s="19">
        <v>0.66785186200000002</v>
      </c>
      <c r="O256" s="20">
        <f t="shared" si="75"/>
        <v>0.58197319941563153</v>
      </c>
      <c r="P256" s="20">
        <f t="shared" si="78"/>
        <v>1.1475646347127335</v>
      </c>
      <c r="Q256" s="21">
        <v>23.852148010000001</v>
      </c>
      <c r="R256" s="20">
        <f t="shared" si="68"/>
        <v>132.30458871702911</v>
      </c>
      <c r="S256" s="20">
        <f t="shared" si="69"/>
        <v>142.2461918904182</v>
      </c>
      <c r="T256" s="20">
        <f t="shared" si="70"/>
        <v>122.36298554364001</v>
      </c>
      <c r="U256">
        <f t="shared" si="71"/>
        <v>9.9416031733890975</v>
      </c>
      <c r="V256">
        <f t="shared" si="72"/>
        <v>9.9416031733890975</v>
      </c>
      <c r="W256">
        <f t="shared" si="73"/>
        <v>9.9416031733890975</v>
      </c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  <c r="IQ256" s="33"/>
      <c r="IR256" s="33"/>
      <c r="IS256" s="33"/>
      <c r="IT256" s="33"/>
      <c r="IU256" s="33"/>
      <c r="IV256" s="33"/>
      <c r="IW256" s="33"/>
      <c r="IX256" s="33"/>
      <c r="IY256" s="33"/>
      <c r="IZ256" s="33"/>
      <c r="JA256" s="33"/>
      <c r="JB256" s="33"/>
      <c r="JC256" s="33"/>
      <c r="JD256" s="33"/>
      <c r="JE256" s="33"/>
      <c r="JF256" s="33"/>
      <c r="JG256" s="33"/>
      <c r="JH256" s="33"/>
      <c r="JI256" s="33"/>
      <c r="JJ256" s="33"/>
      <c r="JK256" s="33"/>
      <c r="JL256" s="33"/>
      <c r="JM256" s="33"/>
      <c r="JN256" s="33"/>
      <c r="JO256" s="33"/>
      <c r="JP256" s="33"/>
      <c r="JQ256" s="33"/>
      <c r="JR256" s="33"/>
      <c r="JS256" s="33"/>
      <c r="JT256" s="33"/>
      <c r="JU256" s="33"/>
      <c r="JV256" s="33"/>
      <c r="JW256" s="33"/>
      <c r="JX256" s="33"/>
      <c r="JY256" s="33"/>
      <c r="JZ256" s="33"/>
      <c r="KA256" s="33"/>
      <c r="KB256" s="33"/>
      <c r="KC256" s="33"/>
      <c r="KD256" s="33"/>
      <c r="KE256" s="33"/>
      <c r="KF256" s="33"/>
      <c r="KG256" s="33"/>
    </row>
    <row r="257" spans="1:293" s="20" customFormat="1">
      <c r="A257" s="25"/>
      <c r="B257" s="28">
        <v>3400</v>
      </c>
      <c r="C257" s="28">
        <v>25.4178</v>
      </c>
      <c r="D257" s="28">
        <v>4.7993499999999996</v>
      </c>
      <c r="E257" s="29">
        <v>0.36099999999999999</v>
      </c>
      <c r="F257" s="19"/>
      <c r="G257" s="19"/>
      <c r="H257" s="32">
        <v>0.38126700000000002</v>
      </c>
      <c r="I257" s="32">
        <v>0.38126700000000002</v>
      </c>
      <c r="J257" s="19">
        <f t="shared" si="76"/>
        <v>0.38126699999999997</v>
      </c>
      <c r="K257" s="19">
        <v>200</v>
      </c>
      <c r="L257" s="19">
        <v>6.8</v>
      </c>
      <c r="M257" s="19">
        <f t="shared" si="77"/>
        <v>3.6756756756756754</v>
      </c>
      <c r="N257" s="19">
        <v>0.66785186200000002</v>
      </c>
      <c r="O257" s="20">
        <f t="shared" si="75"/>
        <v>0.58197319941563153</v>
      </c>
      <c r="P257" s="20">
        <f t="shared" si="78"/>
        <v>1.1475646347127335</v>
      </c>
      <c r="Q257" s="21">
        <v>25.67807522</v>
      </c>
      <c r="R257" s="20">
        <f t="shared" si="68"/>
        <v>139.99016861712437</v>
      </c>
      <c r="S257" s="20">
        <f t="shared" si="69"/>
        <v>150.52002179948903</v>
      </c>
      <c r="T257" s="20">
        <f t="shared" si="70"/>
        <v>129.46031543475971</v>
      </c>
      <c r="U257">
        <f t="shared" si="71"/>
        <v>10.529853182364661</v>
      </c>
      <c r="V257">
        <f t="shared" si="72"/>
        <v>10.529853182364661</v>
      </c>
      <c r="W257">
        <f t="shared" si="73"/>
        <v>10.529853182364661</v>
      </c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  <c r="GE257" s="33"/>
      <c r="GF257" s="33"/>
      <c r="GG257" s="33"/>
      <c r="GH257" s="33"/>
      <c r="GI257" s="33"/>
      <c r="GJ257" s="33"/>
      <c r="GK257" s="33"/>
      <c r="GL257" s="33"/>
      <c r="GM257" s="33"/>
      <c r="GN257" s="33"/>
      <c r="GO257" s="33"/>
      <c r="GP257" s="33"/>
      <c r="GQ257" s="33"/>
      <c r="GR257" s="33"/>
      <c r="GS257" s="33"/>
      <c r="GT257" s="33"/>
      <c r="GU257" s="33"/>
      <c r="GV257" s="33"/>
      <c r="GW257" s="33"/>
      <c r="GX257" s="33"/>
      <c r="GY257" s="33"/>
      <c r="GZ257" s="33"/>
      <c r="HA257" s="33"/>
      <c r="HB257" s="33"/>
      <c r="HC257" s="33"/>
      <c r="HD257" s="33"/>
      <c r="HE257" s="33"/>
      <c r="HF257" s="33"/>
      <c r="HG257" s="33"/>
      <c r="HH257" s="33"/>
      <c r="HI257" s="33"/>
      <c r="HJ257" s="33"/>
      <c r="HK257" s="33"/>
      <c r="HL257" s="33"/>
      <c r="HM257" s="33"/>
      <c r="HN257" s="33"/>
      <c r="HO257" s="33"/>
      <c r="HP257" s="33"/>
      <c r="HQ257" s="33"/>
      <c r="HR257" s="33"/>
      <c r="HS257" s="33"/>
      <c r="HT257" s="33"/>
      <c r="HU257" s="33"/>
      <c r="HV257" s="33"/>
      <c r="HW257" s="33"/>
      <c r="HX257" s="33"/>
      <c r="HY257" s="33"/>
      <c r="HZ257" s="33"/>
      <c r="IA257" s="33"/>
      <c r="IB257" s="33"/>
      <c r="IC257" s="33"/>
      <c r="ID257" s="33"/>
      <c r="IE257" s="33"/>
      <c r="IF257" s="33"/>
      <c r="IG257" s="33"/>
      <c r="IH257" s="33"/>
      <c r="II257" s="33"/>
      <c r="IJ257" s="33"/>
      <c r="IK257" s="33"/>
      <c r="IL257" s="33"/>
      <c r="IM257" s="33"/>
      <c r="IN257" s="33"/>
      <c r="IO257" s="33"/>
      <c r="IP257" s="33"/>
      <c r="IQ257" s="33"/>
      <c r="IR257" s="33"/>
      <c r="IS257" s="33"/>
      <c r="IT257" s="33"/>
      <c r="IU257" s="33"/>
      <c r="IV257" s="33"/>
      <c r="IW257" s="33"/>
      <c r="IX257" s="33"/>
      <c r="IY257" s="33"/>
      <c r="IZ257" s="33"/>
      <c r="JA257" s="33"/>
      <c r="JB257" s="33"/>
      <c r="JC257" s="33"/>
      <c r="JD257" s="33"/>
      <c r="JE257" s="33"/>
      <c r="JF257" s="33"/>
      <c r="JG257" s="33"/>
      <c r="JH257" s="33"/>
      <c r="JI257" s="33"/>
      <c r="JJ257" s="33"/>
      <c r="JK257" s="33"/>
      <c r="JL257" s="33"/>
      <c r="JM257" s="33"/>
      <c r="JN257" s="33"/>
      <c r="JO257" s="33"/>
      <c r="JP257" s="33"/>
      <c r="JQ257" s="33"/>
      <c r="JR257" s="33"/>
      <c r="JS257" s="33"/>
      <c r="JT257" s="33"/>
      <c r="JU257" s="33"/>
      <c r="JV257" s="33"/>
      <c r="JW257" s="33"/>
      <c r="JX257" s="33"/>
      <c r="JY257" s="33"/>
      <c r="JZ257" s="33"/>
      <c r="KA257" s="33"/>
      <c r="KB257" s="33"/>
      <c r="KC257" s="33"/>
      <c r="KD257" s="33"/>
      <c r="KE257" s="33"/>
      <c r="KF257" s="33"/>
      <c r="KG257" s="33"/>
    </row>
    <row r="258" spans="1:293" s="20" customFormat="1">
      <c r="A258" s="25"/>
      <c r="B258" s="28">
        <v>3400</v>
      </c>
      <c r="C258" s="28">
        <v>27.3691</v>
      </c>
      <c r="D258" s="28">
        <v>4.7022599999999999</v>
      </c>
      <c r="E258" s="29">
        <v>0.35399999999999998</v>
      </c>
      <c r="F258" s="19"/>
      <c r="G258" s="19"/>
      <c r="H258" s="32">
        <v>0.41053650000000003</v>
      </c>
      <c r="I258" s="32">
        <v>0.41053650000000003</v>
      </c>
      <c r="J258" s="19">
        <f t="shared" si="76"/>
        <v>0.41053649999999997</v>
      </c>
      <c r="K258" s="19">
        <v>200</v>
      </c>
      <c r="L258" s="19">
        <v>6.8</v>
      </c>
      <c r="M258" s="19">
        <f t="shared" si="77"/>
        <v>3.6756756756756754</v>
      </c>
      <c r="N258" s="19">
        <v>0.66785186200000002</v>
      </c>
      <c r="O258" s="20">
        <f t="shared" si="75"/>
        <v>0.58197319941563153</v>
      </c>
      <c r="P258" s="20">
        <f t="shared" si="78"/>
        <v>1.1475646347127335</v>
      </c>
      <c r="Q258" s="21">
        <v>27.621598330000001</v>
      </c>
      <c r="R258" s="20">
        <f t="shared" si="68"/>
        <v>147.68769449981772</v>
      </c>
      <c r="S258" s="20">
        <f t="shared" si="69"/>
        <v>158.80605968016408</v>
      </c>
      <c r="T258" s="20">
        <f t="shared" si="70"/>
        <v>136.56932931947136</v>
      </c>
      <c r="U258">
        <f t="shared" si="71"/>
        <v>11.118365180346359</v>
      </c>
      <c r="V258">
        <f t="shared" si="72"/>
        <v>11.118365180346359</v>
      </c>
      <c r="W258">
        <f t="shared" si="73"/>
        <v>11.118365180346359</v>
      </c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  <c r="GE258" s="33"/>
      <c r="GF258" s="33"/>
      <c r="GG258" s="33"/>
      <c r="GH258" s="33"/>
      <c r="GI258" s="33"/>
      <c r="GJ258" s="33"/>
      <c r="GK258" s="33"/>
      <c r="GL258" s="33"/>
      <c r="GM258" s="33"/>
      <c r="GN258" s="33"/>
      <c r="GO258" s="33"/>
      <c r="GP258" s="33"/>
      <c r="GQ258" s="33"/>
      <c r="GR258" s="33"/>
      <c r="GS258" s="33"/>
      <c r="GT258" s="33"/>
      <c r="GU258" s="33"/>
      <c r="GV258" s="33"/>
      <c r="GW258" s="33"/>
      <c r="GX258" s="33"/>
      <c r="GY258" s="33"/>
      <c r="GZ258" s="33"/>
      <c r="HA258" s="33"/>
      <c r="HB258" s="33"/>
      <c r="HC258" s="33"/>
      <c r="HD258" s="33"/>
      <c r="HE258" s="33"/>
      <c r="HF258" s="33"/>
      <c r="HG258" s="33"/>
      <c r="HH258" s="33"/>
      <c r="HI258" s="33"/>
      <c r="HJ258" s="33"/>
      <c r="HK258" s="33"/>
      <c r="HL258" s="33"/>
      <c r="HM258" s="33"/>
      <c r="HN258" s="33"/>
      <c r="HO258" s="33"/>
      <c r="HP258" s="33"/>
      <c r="HQ258" s="33"/>
      <c r="HR258" s="33"/>
      <c r="HS258" s="33"/>
      <c r="HT258" s="33"/>
      <c r="HU258" s="33"/>
      <c r="HV258" s="33"/>
      <c r="HW258" s="33"/>
      <c r="HX258" s="33"/>
      <c r="HY258" s="33"/>
      <c r="HZ258" s="33"/>
      <c r="IA258" s="33"/>
      <c r="IB258" s="33"/>
      <c r="IC258" s="33"/>
      <c r="ID258" s="33"/>
      <c r="IE258" s="33"/>
      <c r="IF258" s="33"/>
      <c r="IG258" s="33"/>
      <c r="IH258" s="33"/>
      <c r="II258" s="33"/>
      <c r="IJ258" s="33"/>
      <c r="IK258" s="33"/>
      <c r="IL258" s="33"/>
      <c r="IM258" s="33"/>
      <c r="IN258" s="33"/>
      <c r="IO258" s="33"/>
      <c r="IP258" s="33"/>
      <c r="IQ258" s="33"/>
      <c r="IR258" s="33"/>
      <c r="IS258" s="33"/>
      <c r="IT258" s="33"/>
      <c r="IU258" s="33"/>
      <c r="IV258" s="33"/>
      <c r="IW258" s="33"/>
      <c r="IX258" s="33"/>
      <c r="IY258" s="33"/>
      <c r="IZ258" s="33"/>
      <c r="JA258" s="33"/>
      <c r="JB258" s="33"/>
      <c r="JC258" s="33"/>
      <c r="JD258" s="33"/>
      <c r="JE258" s="33"/>
      <c r="JF258" s="33"/>
      <c r="JG258" s="33"/>
      <c r="JH258" s="33"/>
      <c r="JI258" s="33"/>
      <c r="JJ258" s="33"/>
      <c r="JK258" s="33"/>
      <c r="JL258" s="33"/>
      <c r="JM258" s="33"/>
      <c r="JN258" s="33"/>
      <c r="JO258" s="33"/>
      <c r="JP258" s="33"/>
      <c r="JQ258" s="33"/>
      <c r="JR258" s="33"/>
      <c r="JS258" s="33"/>
      <c r="JT258" s="33"/>
      <c r="JU258" s="33"/>
      <c r="JV258" s="33"/>
      <c r="JW258" s="33"/>
      <c r="JX258" s="33"/>
      <c r="JY258" s="33"/>
      <c r="JZ258" s="33"/>
      <c r="KA258" s="33"/>
      <c r="KB258" s="33"/>
      <c r="KC258" s="33"/>
      <c r="KD258" s="33"/>
      <c r="KE258" s="33"/>
      <c r="KF258" s="33"/>
      <c r="KG258" s="33"/>
    </row>
    <row r="259" spans="1:293" s="20" customFormat="1">
      <c r="A259" s="25"/>
      <c r="B259" s="28">
        <v>3400</v>
      </c>
      <c r="C259" s="28">
        <v>29.470199999999998</v>
      </c>
      <c r="D259" s="28">
        <v>4.5962399999999999</v>
      </c>
      <c r="E259" s="29">
        <v>0.34599999999999997</v>
      </c>
      <c r="F259" s="19"/>
      <c r="G259" s="19"/>
      <c r="H259" s="32">
        <v>0.44205299999999997</v>
      </c>
      <c r="I259" s="32">
        <v>0.44205299999999997</v>
      </c>
      <c r="J259" s="19">
        <f t="shared" si="76"/>
        <v>0.44205299999999997</v>
      </c>
      <c r="K259" s="19">
        <v>200</v>
      </c>
      <c r="L259" s="19">
        <v>6.8</v>
      </c>
      <c r="M259" s="19">
        <f t="shared" si="77"/>
        <v>3.6756756756756754</v>
      </c>
      <c r="N259" s="19">
        <v>0.66785186200000002</v>
      </c>
      <c r="O259" s="20">
        <f t="shared" si="75"/>
        <v>0.58197319941563153</v>
      </c>
      <c r="P259" s="20">
        <f t="shared" si="78"/>
        <v>1.1475646347127335</v>
      </c>
      <c r="Q259" s="21">
        <v>29.684922539999999</v>
      </c>
      <c r="R259" s="20">
        <f t="shared" si="68"/>
        <v>155.44005348343134</v>
      </c>
      <c r="S259" s="20">
        <f t="shared" si="69"/>
        <v>167.14141340050864</v>
      </c>
      <c r="T259" s="20">
        <f t="shared" si="70"/>
        <v>143.73869356635407</v>
      </c>
      <c r="U259">
        <f t="shared" si="71"/>
        <v>11.701359917077298</v>
      </c>
      <c r="V259">
        <f t="shared" si="72"/>
        <v>11.701359917077269</v>
      </c>
      <c r="W259">
        <f t="shared" si="73"/>
        <v>11.701359917077284</v>
      </c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  <c r="GE259" s="33"/>
      <c r="GF259" s="33"/>
      <c r="GG259" s="33"/>
      <c r="GH259" s="33"/>
      <c r="GI259" s="33"/>
      <c r="GJ259" s="33"/>
      <c r="GK259" s="33"/>
      <c r="GL259" s="33"/>
      <c r="GM259" s="33"/>
      <c r="GN259" s="33"/>
      <c r="GO259" s="33"/>
      <c r="GP259" s="33"/>
      <c r="GQ259" s="33"/>
      <c r="GR259" s="33"/>
      <c r="GS259" s="33"/>
      <c r="GT259" s="33"/>
      <c r="GU259" s="33"/>
      <c r="GV259" s="33"/>
      <c r="GW259" s="33"/>
      <c r="GX259" s="33"/>
      <c r="GY259" s="33"/>
      <c r="GZ259" s="33"/>
      <c r="HA259" s="33"/>
      <c r="HB259" s="33"/>
      <c r="HC259" s="33"/>
      <c r="HD259" s="33"/>
      <c r="HE259" s="33"/>
      <c r="HF259" s="33"/>
      <c r="HG259" s="33"/>
      <c r="HH259" s="33"/>
      <c r="HI259" s="33"/>
      <c r="HJ259" s="33"/>
      <c r="HK259" s="33"/>
      <c r="HL259" s="33"/>
      <c r="HM259" s="33"/>
      <c r="HN259" s="33"/>
      <c r="HO259" s="33"/>
      <c r="HP259" s="33"/>
      <c r="HQ259" s="33"/>
      <c r="HR259" s="33"/>
      <c r="HS259" s="33"/>
      <c r="HT259" s="33"/>
      <c r="HU259" s="33"/>
      <c r="HV259" s="33"/>
      <c r="HW259" s="33"/>
      <c r="HX259" s="33"/>
      <c r="HY259" s="33"/>
      <c r="HZ259" s="33"/>
      <c r="IA259" s="33"/>
      <c r="IB259" s="33"/>
      <c r="IC259" s="33"/>
      <c r="ID259" s="33"/>
      <c r="IE259" s="33"/>
      <c r="IF259" s="33"/>
      <c r="IG259" s="33"/>
      <c r="IH259" s="33"/>
      <c r="II259" s="33"/>
      <c r="IJ259" s="33"/>
      <c r="IK259" s="33"/>
      <c r="IL259" s="33"/>
      <c r="IM259" s="33"/>
      <c r="IN259" s="33"/>
      <c r="IO259" s="33"/>
      <c r="IP259" s="33"/>
      <c r="IQ259" s="33"/>
      <c r="IR259" s="33"/>
      <c r="IS259" s="33"/>
      <c r="IT259" s="33"/>
      <c r="IU259" s="33"/>
      <c r="IV259" s="33"/>
      <c r="IW259" s="33"/>
      <c r="IX259" s="33"/>
      <c r="IY259" s="33"/>
      <c r="IZ259" s="33"/>
      <c r="JA259" s="33"/>
      <c r="JB259" s="33"/>
      <c r="JC259" s="33"/>
      <c r="JD259" s="33"/>
      <c r="JE259" s="33"/>
      <c r="JF259" s="33"/>
      <c r="JG259" s="33"/>
      <c r="JH259" s="33"/>
      <c r="JI259" s="33"/>
      <c r="JJ259" s="33"/>
      <c r="JK259" s="33"/>
      <c r="JL259" s="33"/>
      <c r="JM259" s="33"/>
      <c r="JN259" s="33"/>
      <c r="JO259" s="33"/>
      <c r="JP259" s="33"/>
      <c r="JQ259" s="33"/>
      <c r="JR259" s="33"/>
      <c r="JS259" s="33"/>
      <c r="JT259" s="33"/>
      <c r="JU259" s="33"/>
      <c r="JV259" s="33"/>
      <c r="JW259" s="33"/>
      <c r="JX259" s="33"/>
      <c r="JY259" s="33"/>
      <c r="JZ259" s="33"/>
      <c r="KA259" s="33"/>
      <c r="KB259" s="33"/>
      <c r="KC259" s="33"/>
      <c r="KD259" s="33"/>
      <c r="KE259" s="33"/>
      <c r="KF259" s="33"/>
      <c r="KG259" s="33"/>
    </row>
    <row r="260" spans="1:293" s="20" customFormat="1">
      <c r="A260" s="25"/>
      <c r="B260" s="28">
        <v>3400</v>
      </c>
      <c r="C260" s="28">
        <v>31.732700000000001</v>
      </c>
      <c r="D260" s="28">
        <v>4.4863900000000001</v>
      </c>
      <c r="E260" s="29">
        <v>0.33700000000000002</v>
      </c>
      <c r="F260" s="19"/>
      <c r="G260" s="19"/>
      <c r="H260" s="32">
        <v>0.47599049999999998</v>
      </c>
      <c r="I260" s="32">
        <v>0.47599049999999998</v>
      </c>
      <c r="J260" s="19">
        <f t="shared" si="76"/>
        <v>0.47599049999999998</v>
      </c>
      <c r="K260" s="19">
        <v>200</v>
      </c>
      <c r="L260" s="19">
        <v>6.8</v>
      </c>
      <c r="M260" s="19">
        <f t="shared" si="77"/>
        <v>3.6756756756756754</v>
      </c>
      <c r="N260" s="19">
        <v>0.66785186200000002</v>
      </c>
      <c r="O260" s="20">
        <f t="shared" si="75"/>
        <v>0.58197319941563153</v>
      </c>
      <c r="P260" s="20">
        <f t="shared" si="78"/>
        <v>1.1475646347127335</v>
      </c>
      <c r="Q260" s="21">
        <v>31.870239049999999</v>
      </c>
      <c r="R260" s="20">
        <f t="shared" si="68"/>
        <v>163.37334671426487</v>
      </c>
      <c r="S260" s="20">
        <f t="shared" si="69"/>
        <v>175.64531099795559</v>
      </c>
      <c r="T260" s="20">
        <f t="shared" si="70"/>
        <v>151.10138243057415</v>
      </c>
      <c r="U260">
        <f t="shared" si="71"/>
        <v>12.271964283690721</v>
      </c>
      <c r="V260">
        <f t="shared" si="72"/>
        <v>12.271964283690721</v>
      </c>
      <c r="W260">
        <f t="shared" si="73"/>
        <v>12.271964283690721</v>
      </c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  <c r="GE260" s="33"/>
      <c r="GF260" s="33"/>
      <c r="GG260" s="33"/>
      <c r="GH260" s="33"/>
      <c r="GI260" s="33"/>
      <c r="GJ260" s="33"/>
      <c r="GK260" s="33"/>
      <c r="GL260" s="33"/>
      <c r="GM260" s="33"/>
      <c r="GN260" s="33"/>
      <c r="GO260" s="33"/>
      <c r="GP260" s="33"/>
      <c r="GQ260" s="33"/>
      <c r="GR260" s="33"/>
      <c r="GS260" s="33"/>
      <c r="GT260" s="33"/>
      <c r="GU260" s="33"/>
      <c r="GV260" s="33"/>
      <c r="GW260" s="33"/>
      <c r="GX260" s="33"/>
      <c r="GY260" s="33"/>
      <c r="GZ260" s="33"/>
      <c r="HA260" s="33"/>
      <c r="HB260" s="33"/>
      <c r="HC260" s="33"/>
      <c r="HD260" s="33"/>
      <c r="HE260" s="33"/>
      <c r="HF260" s="33"/>
      <c r="HG260" s="33"/>
      <c r="HH260" s="33"/>
      <c r="HI260" s="33"/>
      <c r="HJ260" s="33"/>
      <c r="HK260" s="33"/>
      <c r="HL260" s="33"/>
      <c r="HM260" s="33"/>
      <c r="HN260" s="33"/>
      <c r="HO260" s="33"/>
      <c r="HP260" s="33"/>
      <c r="HQ260" s="33"/>
      <c r="HR260" s="33"/>
      <c r="HS260" s="33"/>
      <c r="HT260" s="33"/>
      <c r="HU260" s="33"/>
      <c r="HV260" s="33"/>
      <c r="HW260" s="33"/>
      <c r="HX260" s="33"/>
      <c r="HY260" s="33"/>
      <c r="HZ260" s="33"/>
      <c r="IA260" s="33"/>
      <c r="IB260" s="33"/>
      <c r="IC260" s="33"/>
      <c r="ID260" s="33"/>
      <c r="IE260" s="33"/>
      <c r="IF260" s="33"/>
      <c r="IG260" s="33"/>
      <c r="IH260" s="33"/>
      <c r="II260" s="33"/>
      <c r="IJ260" s="33"/>
      <c r="IK260" s="33"/>
      <c r="IL260" s="33"/>
      <c r="IM260" s="33"/>
      <c r="IN260" s="33"/>
      <c r="IO260" s="33"/>
      <c r="IP260" s="33"/>
      <c r="IQ260" s="33"/>
      <c r="IR260" s="33"/>
      <c r="IS260" s="33"/>
      <c r="IT260" s="33"/>
      <c r="IU260" s="33"/>
      <c r="IV260" s="33"/>
      <c r="IW260" s="33"/>
      <c r="IX260" s="33"/>
      <c r="IY260" s="33"/>
      <c r="IZ260" s="33"/>
      <c r="JA260" s="33"/>
      <c r="JB260" s="33"/>
      <c r="JC260" s="33"/>
      <c r="JD260" s="33"/>
      <c r="JE260" s="33"/>
      <c r="JF260" s="33"/>
      <c r="JG260" s="33"/>
      <c r="JH260" s="33"/>
      <c r="JI260" s="33"/>
      <c r="JJ260" s="33"/>
      <c r="JK260" s="33"/>
      <c r="JL260" s="33"/>
      <c r="JM260" s="33"/>
      <c r="JN260" s="33"/>
      <c r="JO260" s="33"/>
      <c r="JP260" s="33"/>
      <c r="JQ260" s="33"/>
      <c r="JR260" s="33"/>
      <c r="JS260" s="33"/>
      <c r="JT260" s="33"/>
      <c r="JU260" s="33"/>
      <c r="JV260" s="33"/>
      <c r="JW260" s="33"/>
      <c r="JX260" s="33"/>
      <c r="JY260" s="33"/>
      <c r="JZ260" s="33"/>
      <c r="KA260" s="33"/>
      <c r="KB260" s="33"/>
      <c r="KC260" s="33"/>
      <c r="KD260" s="33"/>
      <c r="KE260" s="33"/>
      <c r="KF260" s="33"/>
      <c r="KG260" s="33"/>
    </row>
    <row r="261" spans="1:293" s="20" customFormat="1">
      <c r="A261" s="25"/>
      <c r="B261" s="28">
        <v>3400</v>
      </c>
      <c r="C261" s="28">
        <v>34.168799999999997</v>
      </c>
      <c r="D261" s="28">
        <v>4.3752199999999997</v>
      </c>
      <c r="E261" s="29">
        <v>0.32900000000000001</v>
      </c>
      <c r="F261" s="19"/>
      <c r="G261" s="19"/>
      <c r="H261" s="32">
        <v>0.51253199999999999</v>
      </c>
      <c r="I261" s="32">
        <v>0.51253199999999999</v>
      </c>
      <c r="J261" s="19">
        <f t="shared" si="76"/>
        <v>0.51253199999999999</v>
      </c>
      <c r="K261" s="19">
        <v>200</v>
      </c>
      <c r="L261" s="19">
        <v>6.8</v>
      </c>
      <c r="M261" s="19">
        <f t="shared" si="77"/>
        <v>3.6756756756756754</v>
      </c>
      <c r="N261" s="19">
        <v>0.66785186200000002</v>
      </c>
      <c r="O261" s="20">
        <f t="shared" si="75"/>
        <v>0.58197319941563153</v>
      </c>
      <c r="P261" s="20">
        <f t="shared" si="78"/>
        <v>1.1475646347127335</v>
      </c>
      <c r="Q261" s="21">
        <v>34.17900049</v>
      </c>
      <c r="R261" s="20">
        <f t="shared" si="68"/>
        <v>171.55634229568236</v>
      </c>
      <c r="S261" s="20">
        <f t="shared" si="69"/>
        <v>184.45673053108069</v>
      </c>
      <c r="T261" s="20">
        <f t="shared" si="70"/>
        <v>158.65595406028405</v>
      </c>
      <c r="U261">
        <f t="shared" si="71"/>
        <v>12.900388235398339</v>
      </c>
      <c r="V261">
        <f t="shared" si="72"/>
        <v>12.90038823539831</v>
      </c>
      <c r="W261">
        <f t="shared" si="73"/>
        <v>12.900388235398324</v>
      </c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  <c r="GE261" s="33"/>
      <c r="GF261" s="33"/>
      <c r="GG261" s="33"/>
      <c r="GH261" s="33"/>
      <c r="GI261" s="33"/>
      <c r="GJ261" s="33"/>
      <c r="GK261" s="33"/>
      <c r="GL261" s="33"/>
      <c r="GM261" s="33"/>
      <c r="GN261" s="33"/>
      <c r="GO261" s="33"/>
      <c r="GP261" s="33"/>
      <c r="GQ261" s="33"/>
      <c r="GR261" s="33"/>
      <c r="GS261" s="33"/>
      <c r="GT261" s="33"/>
      <c r="GU261" s="33"/>
      <c r="GV261" s="33"/>
      <c r="GW261" s="33"/>
      <c r="GX261" s="33"/>
      <c r="GY261" s="33"/>
      <c r="GZ261" s="33"/>
      <c r="HA261" s="33"/>
      <c r="HB261" s="33"/>
      <c r="HC261" s="33"/>
      <c r="HD261" s="33"/>
      <c r="HE261" s="33"/>
      <c r="HF261" s="33"/>
      <c r="HG261" s="33"/>
      <c r="HH261" s="33"/>
      <c r="HI261" s="33"/>
      <c r="HJ261" s="33"/>
      <c r="HK261" s="33"/>
      <c r="HL261" s="33"/>
      <c r="HM261" s="33"/>
      <c r="HN261" s="33"/>
      <c r="HO261" s="33"/>
      <c r="HP261" s="33"/>
      <c r="HQ261" s="33"/>
      <c r="HR261" s="33"/>
      <c r="HS261" s="33"/>
      <c r="HT261" s="33"/>
      <c r="HU261" s="33"/>
      <c r="HV261" s="33"/>
      <c r="HW261" s="33"/>
      <c r="HX261" s="33"/>
      <c r="HY261" s="33"/>
      <c r="HZ261" s="33"/>
      <c r="IA261" s="33"/>
      <c r="IB261" s="33"/>
      <c r="IC261" s="33"/>
      <c r="ID261" s="33"/>
      <c r="IE261" s="33"/>
      <c r="IF261" s="33"/>
      <c r="IG261" s="33"/>
      <c r="IH261" s="33"/>
      <c r="II261" s="33"/>
      <c r="IJ261" s="33"/>
      <c r="IK261" s="33"/>
      <c r="IL261" s="33"/>
      <c r="IM261" s="33"/>
      <c r="IN261" s="33"/>
      <c r="IO261" s="33"/>
      <c r="IP261" s="33"/>
      <c r="IQ261" s="33"/>
      <c r="IR261" s="33"/>
      <c r="IS261" s="33"/>
      <c r="IT261" s="33"/>
      <c r="IU261" s="33"/>
      <c r="IV261" s="33"/>
      <c r="IW261" s="33"/>
      <c r="IX261" s="33"/>
      <c r="IY261" s="33"/>
      <c r="IZ261" s="33"/>
      <c r="JA261" s="33"/>
      <c r="JB261" s="33"/>
      <c r="JC261" s="33"/>
      <c r="JD261" s="33"/>
      <c r="JE261" s="33"/>
      <c r="JF261" s="33"/>
      <c r="JG261" s="33"/>
      <c r="JH261" s="33"/>
      <c r="JI261" s="33"/>
      <c r="JJ261" s="33"/>
      <c r="JK261" s="33"/>
      <c r="JL261" s="33"/>
      <c r="JM261" s="33"/>
      <c r="JN261" s="33"/>
      <c r="JO261" s="33"/>
      <c r="JP261" s="33"/>
      <c r="JQ261" s="33"/>
      <c r="JR261" s="33"/>
      <c r="JS261" s="33"/>
      <c r="JT261" s="33"/>
      <c r="JU261" s="33"/>
      <c r="JV261" s="33"/>
      <c r="JW261" s="33"/>
      <c r="JX261" s="33"/>
      <c r="JY261" s="33"/>
      <c r="JZ261" s="33"/>
      <c r="KA261" s="33"/>
      <c r="KB261" s="33"/>
      <c r="KC261" s="33"/>
      <c r="KD261" s="33"/>
      <c r="KE261" s="33"/>
      <c r="KF261" s="33"/>
      <c r="KG261" s="33"/>
    </row>
    <row r="262" spans="1:293" s="20" customFormat="1">
      <c r="A262" s="25"/>
      <c r="B262" s="28">
        <v>3400</v>
      </c>
      <c r="C262" s="28">
        <v>36.791899999999998</v>
      </c>
      <c r="D262" s="28">
        <v>4.2633700000000001</v>
      </c>
      <c r="E262" s="29">
        <v>0.32100000000000001</v>
      </c>
      <c r="F262" s="19"/>
      <c r="G262" s="19"/>
      <c r="H262" s="32">
        <v>0.55187850000000005</v>
      </c>
      <c r="I262" s="32">
        <v>0.55187850000000005</v>
      </c>
      <c r="J262" s="19">
        <f t="shared" si="76"/>
        <v>0.55187849999999994</v>
      </c>
      <c r="K262" s="19">
        <v>200</v>
      </c>
      <c r="L262" s="19">
        <v>6.8</v>
      </c>
      <c r="M262" s="19">
        <f t="shared" si="77"/>
        <v>3.6756756756756754</v>
      </c>
      <c r="N262" s="19">
        <v>0.66785186200000002</v>
      </c>
      <c r="O262" s="20">
        <f t="shared" si="75"/>
        <v>0.58197319941563153</v>
      </c>
      <c r="P262" s="20">
        <f t="shared" si="78"/>
        <v>1.1475646347127335</v>
      </c>
      <c r="Q262" s="21">
        <v>36.61343265</v>
      </c>
      <c r="R262" s="20">
        <f t="shared" si="68"/>
        <v>180.0040998400271</v>
      </c>
      <c r="S262" s="20">
        <f t="shared" si="69"/>
        <v>193.55706757415496</v>
      </c>
      <c r="T262" s="20">
        <f t="shared" si="70"/>
        <v>166.45113210589926</v>
      </c>
      <c r="U262">
        <f t="shared" si="71"/>
        <v>13.552967734127861</v>
      </c>
      <c r="V262">
        <f t="shared" si="72"/>
        <v>13.552967734127833</v>
      </c>
      <c r="W262">
        <f t="shared" si="73"/>
        <v>13.552967734127847</v>
      </c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  <c r="GE262" s="33"/>
      <c r="GF262" s="33"/>
      <c r="GG262" s="33"/>
      <c r="GH262" s="33"/>
      <c r="GI262" s="33"/>
      <c r="GJ262" s="33"/>
      <c r="GK262" s="33"/>
      <c r="GL262" s="33"/>
      <c r="GM262" s="33"/>
      <c r="GN262" s="33"/>
      <c r="GO262" s="33"/>
      <c r="GP262" s="33"/>
      <c r="GQ262" s="33"/>
      <c r="GR262" s="33"/>
      <c r="GS262" s="33"/>
      <c r="GT262" s="33"/>
      <c r="GU262" s="33"/>
      <c r="GV262" s="33"/>
      <c r="GW262" s="33"/>
      <c r="GX262" s="33"/>
      <c r="GY262" s="33"/>
      <c r="GZ262" s="33"/>
      <c r="HA262" s="33"/>
      <c r="HB262" s="33"/>
      <c r="HC262" s="33"/>
      <c r="HD262" s="33"/>
      <c r="HE262" s="33"/>
      <c r="HF262" s="33"/>
      <c r="HG262" s="33"/>
      <c r="HH262" s="33"/>
      <c r="HI262" s="33"/>
      <c r="HJ262" s="33"/>
      <c r="HK262" s="33"/>
      <c r="HL262" s="33"/>
      <c r="HM262" s="33"/>
      <c r="HN262" s="33"/>
      <c r="HO262" s="33"/>
      <c r="HP262" s="33"/>
      <c r="HQ262" s="33"/>
      <c r="HR262" s="33"/>
      <c r="HS262" s="33"/>
      <c r="HT262" s="33"/>
      <c r="HU262" s="33"/>
      <c r="HV262" s="33"/>
      <c r="HW262" s="33"/>
      <c r="HX262" s="33"/>
      <c r="HY262" s="33"/>
      <c r="HZ262" s="33"/>
      <c r="IA262" s="33"/>
      <c r="IB262" s="33"/>
      <c r="IC262" s="33"/>
      <c r="ID262" s="33"/>
      <c r="IE262" s="33"/>
      <c r="IF262" s="33"/>
      <c r="IG262" s="33"/>
      <c r="IH262" s="33"/>
      <c r="II262" s="33"/>
      <c r="IJ262" s="33"/>
      <c r="IK262" s="33"/>
      <c r="IL262" s="33"/>
      <c r="IM262" s="33"/>
      <c r="IN262" s="33"/>
      <c r="IO262" s="33"/>
      <c r="IP262" s="33"/>
      <c r="IQ262" s="33"/>
      <c r="IR262" s="33"/>
      <c r="IS262" s="33"/>
      <c r="IT262" s="33"/>
      <c r="IU262" s="33"/>
      <c r="IV262" s="33"/>
      <c r="IW262" s="33"/>
      <c r="IX262" s="33"/>
      <c r="IY262" s="33"/>
      <c r="IZ262" s="33"/>
      <c r="JA262" s="33"/>
      <c r="JB262" s="33"/>
      <c r="JC262" s="33"/>
      <c r="JD262" s="33"/>
      <c r="JE262" s="33"/>
      <c r="JF262" s="33"/>
      <c r="JG262" s="33"/>
      <c r="JH262" s="33"/>
      <c r="JI262" s="33"/>
      <c r="JJ262" s="33"/>
      <c r="JK262" s="33"/>
      <c r="JL262" s="33"/>
      <c r="JM262" s="33"/>
      <c r="JN262" s="33"/>
      <c r="JO262" s="33"/>
      <c r="JP262" s="33"/>
      <c r="JQ262" s="33"/>
      <c r="JR262" s="33"/>
      <c r="JS262" s="33"/>
      <c r="JT262" s="33"/>
      <c r="JU262" s="33"/>
      <c r="JV262" s="33"/>
      <c r="JW262" s="33"/>
      <c r="JX262" s="33"/>
      <c r="JY262" s="33"/>
      <c r="JZ262" s="33"/>
      <c r="KA262" s="33"/>
      <c r="KB262" s="33"/>
      <c r="KC262" s="33"/>
      <c r="KD262" s="33"/>
      <c r="KE262" s="33"/>
      <c r="KF262" s="33"/>
      <c r="KG262" s="33"/>
    </row>
    <row r="263" spans="1:293" s="20" customFormat="1">
      <c r="A263" s="25"/>
      <c r="B263" s="28">
        <v>3400</v>
      </c>
      <c r="C263" s="28">
        <v>39.616500000000002</v>
      </c>
      <c r="D263" s="28">
        <v>4.1515399999999998</v>
      </c>
      <c r="E263" s="29">
        <v>0.312</v>
      </c>
      <c r="F263" s="19"/>
      <c r="G263" s="19"/>
      <c r="H263" s="32">
        <v>0.59424750000000004</v>
      </c>
      <c r="I263" s="32">
        <v>0.59424750000000004</v>
      </c>
      <c r="J263" s="19">
        <f t="shared" si="76"/>
        <v>0.59424750000000004</v>
      </c>
      <c r="K263" s="19">
        <v>200</v>
      </c>
      <c r="L263" s="19">
        <v>6.8</v>
      </c>
      <c r="M263" s="19">
        <f t="shared" si="77"/>
        <v>3.6756756756756754</v>
      </c>
      <c r="N263" s="19">
        <v>0.66785186200000002</v>
      </c>
      <c r="O263" s="20">
        <f t="shared" si="75"/>
        <v>0.58197319941563153</v>
      </c>
      <c r="P263" s="20">
        <f t="shared" si="78"/>
        <v>1.1475646347127335</v>
      </c>
      <c r="Q263" s="21">
        <v>39.176775880000001</v>
      </c>
      <c r="R263" s="20">
        <f t="shared" si="68"/>
        <v>188.73936379835328</v>
      </c>
      <c r="S263" s="20">
        <f t="shared" si="69"/>
        <v>202.92366203589557</v>
      </c>
      <c r="T263" s="20">
        <f t="shared" si="70"/>
        <v>174.55506556081102</v>
      </c>
      <c r="U263">
        <f t="shared" si="71"/>
        <v>14.184298237542293</v>
      </c>
      <c r="V263">
        <f t="shared" si="72"/>
        <v>14.184298237542265</v>
      </c>
      <c r="W263">
        <f t="shared" si="73"/>
        <v>14.184298237542279</v>
      </c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  <c r="GE263" s="33"/>
      <c r="GF263" s="33"/>
      <c r="GG263" s="33"/>
      <c r="GH263" s="33"/>
      <c r="GI263" s="33"/>
      <c r="GJ263" s="33"/>
      <c r="GK263" s="33"/>
      <c r="GL263" s="33"/>
      <c r="GM263" s="33"/>
      <c r="GN263" s="33"/>
      <c r="GO263" s="33"/>
      <c r="GP263" s="33"/>
      <c r="GQ263" s="33"/>
      <c r="GR263" s="33"/>
      <c r="GS263" s="33"/>
      <c r="GT263" s="33"/>
      <c r="GU263" s="33"/>
      <c r="GV263" s="33"/>
      <c r="GW263" s="33"/>
      <c r="GX263" s="33"/>
      <c r="GY263" s="33"/>
      <c r="GZ263" s="33"/>
      <c r="HA263" s="33"/>
      <c r="HB263" s="33"/>
      <c r="HC263" s="33"/>
      <c r="HD263" s="33"/>
      <c r="HE263" s="33"/>
      <c r="HF263" s="33"/>
      <c r="HG263" s="33"/>
      <c r="HH263" s="33"/>
      <c r="HI263" s="33"/>
      <c r="HJ263" s="33"/>
      <c r="HK263" s="33"/>
      <c r="HL263" s="33"/>
      <c r="HM263" s="33"/>
      <c r="HN263" s="33"/>
      <c r="HO263" s="33"/>
      <c r="HP263" s="33"/>
      <c r="HQ263" s="33"/>
      <c r="HR263" s="33"/>
      <c r="HS263" s="33"/>
      <c r="HT263" s="33"/>
      <c r="HU263" s="33"/>
      <c r="HV263" s="33"/>
      <c r="HW263" s="33"/>
      <c r="HX263" s="33"/>
      <c r="HY263" s="33"/>
      <c r="HZ263" s="33"/>
      <c r="IA263" s="33"/>
      <c r="IB263" s="33"/>
      <c r="IC263" s="33"/>
      <c r="ID263" s="33"/>
      <c r="IE263" s="33"/>
      <c r="IF263" s="33"/>
      <c r="IG263" s="33"/>
      <c r="IH263" s="33"/>
      <c r="II263" s="33"/>
      <c r="IJ263" s="33"/>
      <c r="IK263" s="33"/>
      <c r="IL263" s="33"/>
      <c r="IM263" s="33"/>
      <c r="IN263" s="33"/>
      <c r="IO263" s="33"/>
      <c r="IP263" s="33"/>
      <c r="IQ263" s="33"/>
      <c r="IR263" s="33"/>
      <c r="IS263" s="33"/>
      <c r="IT263" s="33"/>
      <c r="IU263" s="33"/>
      <c r="IV263" s="33"/>
      <c r="IW263" s="33"/>
      <c r="IX263" s="33"/>
      <c r="IY263" s="33"/>
      <c r="IZ263" s="33"/>
      <c r="JA263" s="33"/>
      <c r="JB263" s="33"/>
      <c r="JC263" s="33"/>
      <c r="JD263" s="33"/>
      <c r="JE263" s="33"/>
      <c r="JF263" s="33"/>
      <c r="JG263" s="33"/>
      <c r="JH263" s="33"/>
      <c r="JI263" s="33"/>
      <c r="JJ263" s="33"/>
      <c r="JK263" s="33"/>
      <c r="JL263" s="33"/>
      <c r="JM263" s="33"/>
      <c r="JN263" s="33"/>
      <c r="JO263" s="33"/>
      <c r="JP263" s="33"/>
      <c r="JQ263" s="33"/>
      <c r="JR263" s="33"/>
      <c r="JS263" s="33"/>
      <c r="JT263" s="33"/>
      <c r="JU263" s="33"/>
      <c r="JV263" s="33"/>
      <c r="JW263" s="33"/>
      <c r="JX263" s="33"/>
      <c r="JY263" s="33"/>
      <c r="JZ263" s="33"/>
      <c r="KA263" s="33"/>
      <c r="KB263" s="33"/>
      <c r="KC263" s="33"/>
      <c r="KD263" s="33"/>
      <c r="KE263" s="33"/>
      <c r="KF263" s="33"/>
      <c r="KG263" s="33"/>
    </row>
    <row r="264" spans="1:293" s="20" customFormat="1">
      <c r="A264" s="25"/>
      <c r="B264" s="28">
        <v>3400</v>
      </c>
      <c r="C264" s="28">
        <v>42.657800000000002</v>
      </c>
      <c r="D264" s="28">
        <v>4.0404600000000004</v>
      </c>
      <c r="E264" s="29">
        <v>0.30399999999999999</v>
      </c>
      <c r="F264" s="19"/>
      <c r="G264" s="19"/>
      <c r="H264" s="32">
        <v>0.63986699999999996</v>
      </c>
      <c r="I264" s="32">
        <v>0.63986699999999996</v>
      </c>
      <c r="J264" s="19">
        <f t="shared" si="76"/>
        <v>0.63986699999999996</v>
      </c>
      <c r="K264" s="19">
        <v>200</v>
      </c>
      <c r="L264" s="19">
        <v>6.8</v>
      </c>
      <c r="M264" s="19">
        <f t="shared" si="77"/>
        <v>3.6756756756756754</v>
      </c>
      <c r="N264" s="19">
        <v>0.66785186200000002</v>
      </c>
      <c r="O264" s="20">
        <f t="shared" si="75"/>
        <v>0.58197319941563153</v>
      </c>
      <c r="P264" s="20">
        <f t="shared" si="78"/>
        <v>1.1475646347127335</v>
      </c>
      <c r="Q264" s="21">
        <v>41.875395040000001</v>
      </c>
      <c r="R264" s="20">
        <f t="shared" si="68"/>
        <v>197.7909521936117</v>
      </c>
      <c r="S264" s="20">
        <f t="shared" si="69"/>
        <v>212.67253732670494</v>
      </c>
      <c r="T264" s="20">
        <f t="shared" si="70"/>
        <v>182.90936706051846</v>
      </c>
      <c r="U264">
        <f t="shared" si="71"/>
        <v>14.881585133093239</v>
      </c>
      <c r="V264">
        <f t="shared" si="72"/>
        <v>14.881585133093239</v>
      </c>
      <c r="W264">
        <f t="shared" si="73"/>
        <v>14.881585133093239</v>
      </c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  <c r="GE264" s="33"/>
      <c r="GF264" s="33"/>
      <c r="GG264" s="33"/>
      <c r="GH264" s="33"/>
      <c r="GI264" s="33"/>
      <c r="GJ264" s="33"/>
      <c r="GK264" s="33"/>
      <c r="GL264" s="33"/>
      <c r="GM264" s="33"/>
      <c r="GN264" s="33"/>
      <c r="GO264" s="33"/>
      <c r="GP264" s="33"/>
      <c r="GQ264" s="33"/>
      <c r="GR264" s="33"/>
      <c r="GS264" s="33"/>
      <c r="GT264" s="33"/>
      <c r="GU264" s="33"/>
      <c r="GV264" s="33"/>
      <c r="GW264" s="33"/>
      <c r="GX264" s="33"/>
      <c r="GY264" s="33"/>
      <c r="GZ264" s="33"/>
      <c r="HA264" s="33"/>
      <c r="HB264" s="33"/>
      <c r="HC264" s="33"/>
      <c r="HD264" s="33"/>
      <c r="HE264" s="33"/>
      <c r="HF264" s="33"/>
      <c r="HG264" s="33"/>
      <c r="HH264" s="33"/>
      <c r="HI264" s="33"/>
      <c r="HJ264" s="33"/>
      <c r="HK264" s="33"/>
      <c r="HL264" s="33"/>
      <c r="HM264" s="33"/>
      <c r="HN264" s="33"/>
      <c r="HO264" s="33"/>
      <c r="HP264" s="33"/>
      <c r="HQ264" s="33"/>
      <c r="HR264" s="33"/>
      <c r="HS264" s="33"/>
      <c r="HT264" s="33"/>
      <c r="HU264" s="33"/>
      <c r="HV264" s="33"/>
      <c r="HW264" s="33"/>
      <c r="HX264" s="33"/>
      <c r="HY264" s="33"/>
      <c r="HZ264" s="33"/>
      <c r="IA264" s="33"/>
      <c r="IB264" s="33"/>
      <c r="IC264" s="33"/>
      <c r="ID264" s="33"/>
      <c r="IE264" s="33"/>
      <c r="IF264" s="33"/>
      <c r="IG264" s="33"/>
      <c r="IH264" s="33"/>
      <c r="II264" s="33"/>
      <c r="IJ264" s="33"/>
      <c r="IK264" s="33"/>
      <c r="IL264" s="33"/>
      <c r="IM264" s="33"/>
      <c r="IN264" s="33"/>
      <c r="IO264" s="33"/>
      <c r="IP264" s="33"/>
      <c r="IQ264" s="33"/>
      <c r="IR264" s="33"/>
      <c r="IS264" s="33"/>
      <c r="IT264" s="33"/>
      <c r="IU264" s="33"/>
      <c r="IV264" s="33"/>
      <c r="IW264" s="33"/>
      <c r="IX264" s="33"/>
      <c r="IY264" s="33"/>
      <c r="IZ264" s="33"/>
      <c r="JA264" s="33"/>
      <c r="JB264" s="33"/>
      <c r="JC264" s="33"/>
      <c r="JD264" s="33"/>
      <c r="JE264" s="33"/>
      <c r="JF264" s="33"/>
      <c r="JG264" s="33"/>
      <c r="JH264" s="33"/>
      <c r="JI264" s="33"/>
      <c r="JJ264" s="33"/>
      <c r="JK264" s="33"/>
      <c r="JL264" s="33"/>
      <c r="JM264" s="33"/>
      <c r="JN264" s="33"/>
      <c r="JO264" s="33"/>
      <c r="JP264" s="33"/>
      <c r="JQ264" s="33"/>
      <c r="JR264" s="33"/>
      <c r="JS264" s="33"/>
      <c r="JT264" s="33"/>
      <c r="JU264" s="33"/>
      <c r="JV264" s="33"/>
      <c r="JW264" s="33"/>
      <c r="JX264" s="33"/>
      <c r="JY264" s="33"/>
      <c r="JZ264" s="33"/>
      <c r="KA264" s="33"/>
      <c r="KB264" s="33"/>
      <c r="KC264" s="33"/>
      <c r="KD264" s="33"/>
      <c r="KE264" s="33"/>
      <c r="KF264" s="33"/>
      <c r="KG264" s="33"/>
    </row>
    <row r="265" spans="1:293" s="20" customFormat="1">
      <c r="A265" s="25"/>
      <c r="B265" s="28">
        <v>3400</v>
      </c>
      <c r="C265" s="28">
        <v>45.932699999999997</v>
      </c>
      <c r="D265" s="28">
        <v>3.9308900000000002</v>
      </c>
      <c r="E265" s="29">
        <v>0.29599999999999999</v>
      </c>
      <c r="F265" s="19"/>
      <c r="G265" s="19"/>
      <c r="H265" s="32">
        <v>0.68899049999999995</v>
      </c>
      <c r="I265" s="32">
        <v>0.68899049999999995</v>
      </c>
      <c r="J265" s="19">
        <f t="shared" si="76"/>
        <v>0.68899049999999995</v>
      </c>
      <c r="K265" s="19">
        <v>200</v>
      </c>
      <c r="L265" s="19">
        <v>6.8</v>
      </c>
      <c r="M265" s="19">
        <f t="shared" si="77"/>
        <v>3.6756756756756754</v>
      </c>
      <c r="N265" s="19">
        <v>0.66785186200000002</v>
      </c>
      <c r="O265" s="20">
        <f t="shared" si="75"/>
        <v>0.58197319941563153</v>
      </c>
      <c r="P265" s="20">
        <f t="shared" si="78"/>
        <v>1.1475646347127335</v>
      </c>
      <c r="Q265" s="21">
        <v>44.72115642</v>
      </c>
      <c r="R265" s="20">
        <f t="shared" si="68"/>
        <v>207.20012900116365</v>
      </c>
      <c r="S265" s="20">
        <f t="shared" si="69"/>
        <v>222.80250866183704</v>
      </c>
      <c r="T265" s="20">
        <f t="shared" si="70"/>
        <v>191.59774934049028</v>
      </c>
      <c r="U265">
        <f t="shared" si="71"/>
        <v>15.602379660673392</v>
      </c>
      <c r="V265">
        <f t="shared" si="72"/>
        <v>15.602379660673364</v>
      </c>
      <c r="W265">
        <f t="shared" si="73"/>
        <v>15.602379660673378</v>
      </c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  <c r="GE265" s="33"/>
      <c r="GF265" s="33"/>
      <c r="GG265" s="33"/>
      <c r="GH265" s="33"/>
      <c r="GI265" s="33"/>
      <c r="GJ265" s="33"/>
      <c r="GK265" s="33"/>
      <c r="GL265" s="33"/>
      <c r="GM265" s="33"/>
      <c r="GN265" s="33"/>
      <c r="GO265" s="33"/>
      <c r="GP265" s="33"/>
      <c r="GQ265" s="33"/>
      <c r="GR265" s="33"/>
      <c r="GS265" s="33"/>
      <c r="GT265" s="33"/>
      <c r="GU265" s="33"/>
      <c r="GV265" s="33"/>
      <c r="GW265" s="33"/>
      <c r="GX265" s="33"/>
      <c r="GY265" s="33"/>
      <c r="GZ265" s="33"/>
      <c r="HA265" s="33"/>
      <c r="HB265" s="33"/>
      <c r="HC265" s="33"/>
      <c r="HD265" s="33"/>
      <c r="HE265" s="33"/>
      <c r="HF265" s="33"/>
      <c r="HG265" s="33"/>
      <c r="HH265" s="33"/>
      <c r="HI265" s="33"/>
      <c r="HJ265" s="33"/>
      <c r="HK265" s="33"/>
      <c r="HL265" s="33"/>
      <c r="HM265" s="33"/>
      <c r="HN265" s="33"/>
      <c r="HO265" s="33"/>
      <c r="HP265" s="33"/>
      <c r="HQ265" s="33"/>
      <c r="HR265" s="33"/>
      <c r="HS265" s="33"/>
      <c r="HT265" s="33"/>
      <c r="HU265" s="33"/>
      <c r="HV265" s="33"/>
      <c r="HW265" s="33"/>
      <c r="HX265" s="33"/>
      <c r="HY265" s="33"/>
      <c r="HZ265" s="33"/>
      <c r="IA265" s="33"/>
      <c r="IB265" s="33"/>
      <c r="IC265" s="33"/>
      <c r="ID265" s="33"/>
      <c r="IE265" s="33"/>
      <c r="IF265" s="33"/>
      <c r="IG265" s="33"/>
      <c r="IH265" s="33"/>
      <c r="II265" s="33"/>
      <c r="IJ265" s="33"/>
      <c r="IK265" s="33"/>
      <c r="IL265" s="33"/>
      <c r="IM265" s="33"/>
      <c r="IN265" s="33"/>
      <c r="IO265" s="33"/>
      <c r="IP265" s="33"/>
      <c r="IQ265" s="33"/>
      <c r="IR265" s="33"/>
      <c r="IS265" s="33"/>
      <c r="IT265" s="33"/>
      <c r="IU265" s="33"/>
      <c r="IV265" s="33"/>
      <c r="IW265" s="33"/>
      <c r="IX265" s="33"/>
      <c r="IY265" s="33"/>
      <c r="IZ265" s="33"/>
      <c r="JA265" s="33"/>
      <c r="JB265" s="33"/>
      <c r="JC265" s="33"/>
      <c r="JD265" s="33"/>
      <c r="JE265" s="33"/>
      <c r="JF265" s="33"/>
      <c r="JG265" s="33"/>
      <c r="JH265" s="33"/>
      <c r="JI265" s="33"/>
      <c r="JJ265" s="33"/>
      <c r="JK265" s="33"/>
      <c r="JL265" s="33"/>
      <c r="JM265" s="33"/>
      <c r="JN265" s="33"/>
      <c r="JO265" s="33"/>
      <c r="JP265" s="33"/>
      <c r="JQ265" s="33"/>
      <c r="JR265" s="33"/>
      <c r="JS265" s="33"/>
      <c r="JT265" s="33"/>
      <c r="JU265" s="33"/>
      <c r="JV265" s="33"/>
      <c r="JW265" s="33"/>
      <c r="JX265" s="33"/>
      <c r="JY265" s="33"/>
      <c r="JZ265" s="33"/>
      <c r="KA265" s="33"/>
      <c r="KB265" s="33"/>
      <c r="KC265" s="33"/>
      <c r="KD265" s="33"/>
      <c r="KE265" s="33"/>
      <c r="KF265" s="33"/>
      <c r="KG265" s="33"/>
    </row>
    <row r="266" spans="1:293" s="20" customFormat="1">
      <c r="A266" s="25"/>
      <c r="B266" s="28">
        <v>3400</v>
      </c>
      <c r="C266" s="28">
        <v>49.459000000000003</v>
      </c>
      <c r="D266" s="28">
        <v>3.82355</v>
      </c>
      <c r="E266" s="29">
        <v>0.28699999999999998</v>
      </c>
      <c r="F266" s="19"/>
      <c r="G266" s="19"/>
      <c r="H266" s="32">
        <v>0.74188500000000002</v>
      </c>
      <c r="I266" s="32">
        <v>0.74188500000000002</v>
      </c>
      <c r="J266" s="19">
        <f t="shared" si="76"/>
        <v>0.74188500000000002</v>
      </c>
      <c r="K266" s="19">
        <v>200</v>
      </c>
      <c r="L266" s="19">
        <v>6.8</v>
      </c>
      <c r="M266" s="19">
        <f t="shared" si="77"/>
        <v>3.6756756756756754</v>
      </c>
      <c r="N266" s="19">
        <v>0.66785186200000002</v>
      </c>
      <c r="O266" s="20">
        <f t="shared" si="75"/>
        <v>0.58197319941563153</v>
      </c>
      <c r="P266" s="20">
        <f t="shared" si="78"/>
        <v>1.1475646347127335</v>
      </c>
      <c r="Q266" s="21">
        <v>47.735073149999998</v>
      </c>
      <c r="R266" s="20">
        <f t="shared" si="68"/>
        <v>217.0147539721444</v>
      </c>
      <c r="S266" s="20">
        <f t="shared" si="69"/>
        <v>233.30412756213417</v>
      </c>
      <c r="T266" s="20">
        <f t="shared" si="70"/>
        <v>200.72538038215464</v>
      </c>
      <c r="U266">
        <f t="shared" si="71"/>
        <v>16.289373589989765</v>
      </c>
      <c r="V266">
        <f t="shared" si="72"/>
        <v>16.289373589989765</v>
      </c>
      <c r="W266">
        <f t="shared" si="73"/>
        <v>16.289373589989765</v>
      </c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  <c r="GE266" s="33"/>
      <c r="GF266" s="33"/>
      <c r="GG266" s="33"/>
      <c r="GH266" s="33"/>
      <c r="GI266" s="33"/>
      <c r="GJ266" s="33"/>
      <c r="GK266" s="33"/>
      <c r="GL266" s="33"/>
      <c r="GM266" s="33"/>
      <c r="GN266" s="33"/>
      <c r="GO266" s="33"/>
      <c r="GP266" s="33"/>
      <c r="GQ266" s="33"/>
      <c r="GR266" s="33"/>
      <c r="GS266" s="33"/>
      <c r="GT266" s="33"/>
      <c r="GU266" s="33"/>
      <c r="GV266" s="33"/>
      <c r="GW266" s="33"/>
      <c r="GX266" s="33"/>
      <c r="GY266" s="33"/>
      <c r="GZ266" s="33"/>
      <c r="HA266" s="33"/>
      <c r="HB266" s="33"/>
      <c r="HC266" s="33"/>
      <c r="HD266" s="33"/>
      <c r="HE266" s="33"/>
      <c r="HF266" s="33"/>
      <c r="HG266" s="33"/>
      <c r="HH266" s="33"/>
      <c r="HI266" s="33"/>
      <c r="HJ266" s="33"/>
      <c r="HK266" s="33"/>
      <c r="HL266" s="33"/>
      <c r="HM266" s="33"/>
      <c r="HN266" s="33"/>
      <c r="HO266" s="33"/>
      <c r="HP266" s="33"/>
      <c r="HQ266" s="33"/>
      <c r="HR266" s="33"/>
      <c r="HS266" s="33"/>
      <c r="HT266" s="33"/>
      <c r="HU266" s="33"/>
      <c r="HV266" s="33"/>
      <c r="HW266" s="33"/>
      <c r="HX266" s="33"/>
      <c r="HY266" s="33"/>
      <c r="HZ266" s="33"/>
      <c r="IA266" s="33"/>
      <c r="IB266" s="33"/>
      <c r="IC266" s="33"/>
      <c r="ID266" s="33"/>
      <c r="IE266" s="33"/>
      <c r="IF266" s="33"/>
      <c r="IG266" s="33"/>
      <c r="IH266" s="33"/>
      <c r="II266" s="33"/>
      <c r="IJ266" s="33"/>
      <c r="IK266" s="33"/>
      <c r="IL266" s="33"/>
      <c r="IM266" s="33"/>
      <c r="IN266" s="33"/>
      <c r="IO266" s="33"/>
      <c r="IP266" s="33"/>
      <c r="IQ266" s="33"/>
      <c r="IR266" s="33"/>
      <c r="IS266" s="33"/>
      <c r="IT266" s="33"/>
      <c r="IU266" s="33"/>
      <c r="IV266" s="33"/>
      <c r="IW266" s="33"/>
      <c r="IX266" s="33"/>
      <c r="IY266" s="33"/>
      <c r="IZ266" s="33"/>
      <c r="JA266" s="33"/>
      <c r="JB266" s="33"/>
      <c r="JC266" s="33"/>
      <c r="JD266" s="33"/>
      <c r="JE266" s="33"/>
      <c r="JF266" s="33"/>
      <c r="JG266" s="33"/>
      <c r="JH266" s="33"/>
      <c r="JI266" s="33"/>
      <c r="JJ266" s="33"/>
      <c r="JK266" s="33"/>
      <c r="JL266" s="33"/>
      <c r="JM266" s="33"/>
      <c r="JN266" s="33"/>
      <c r="JO266" s="33"/>
      <c r="JP266" s="33"/>
      <c r="JQ266" s="33"/>
      <c r="JR266" s="33"/>
      <c r="JS266" s="33"/>
      <c r="JT266" s="33"/>
      <c r="JU266" s="33"/>
      <c r="JV266" s="33"/>
      <c r="JW266" s="33"/>
      <c r="JX266" s="33"/>
      <c r="JY266" s="33"/>
      <c r="JZ266" s="33"/>
      <c r="KA266" s="33"/>
      <c r="KB266" s="33"/>
      <c r="KC266" s="33"/>
      <c r="KD266" s="33"/>
      <c r="KE266" s="33"/>
      <c r="KF266" s="33"/>
      <c r="KG266" s="33"/>
    </row>
    <row r="267" spans="1:293" s="20" customFormat="1">
      <c r="A267" s="25"/>
      <c r="B267" s="28">
        <v>3400</v>
      </c>
      <c r="C267" s="28">
        <v>53.255899999999997</v>
      </c>
      <c r="D267" s="28">
        <v>3.7190500000000002</v>
      </c>
      <c r="E267" s="29">
        <v>0.28000000000000003</v>
      </c>
      <c r="F267" s="19"/>
      <c r="G267" s="19"/>
      <c r="H267" s="32">
        <v>0.79883850000000001</v>
      </c>
      <c r="I267" s="32">
        <v>0.79883850000000001</v>
      </c>
      <c r="J267" s="19">
        <f t="shared" si="76"/>
        <v>0.7988384999999999</v>
      </c>
      <c r="K267" s="19">
        <v>200</v>
      </c>
      <c r="L267" s="19">
        <v>6.8</v>
      </c>
      <c r="M267" s="19">
        <f t="shared" si="77"/>
        <v>3.6756756756756754</v>
      </c>
      <c r="N267" s="19">
        <v>0.66785186200000002</v>
      </c>
      <c r="O267" s="20">
        <f t="shared" si="75"/>
        <v>0.58197319941563153</v>
      </c>
      <c r="P267" s="20">
        <f t="shared" si="78"/>
        <v>1.1475646347127335</v>
      </c>
      <c r="Q267" s="21">
        <v>50.949252139999999</v>
      </c>
      <c r="R267" s="20">
        <f t="shared" si="68"/>
        <v>227.28820638078975</v>
      </c>
      <c r="S267" s="20">
        <f t="shared" si="69"/>
        <v>244.40029086113316</v>
      </c>
      <c r="T267" s="20">
        <f t="shared" si="70"/>
        <v>210.17612190044633</v>
      </c>
      <c r="U267">
        <f t="shared" si="71"/>
        <v>17.112084480343412</v>
      </c>
      <c r="V267">
        <f t="shared" si="72"/>
        <v>17.112084480343412</v>
      </c>
      <c r="W267">
        <f t="shared" si="73"/>
        <v>17.112084480343412</v>
      </c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  <c r="GE267" s="33"/>
      <c r="GF267" s="33"/>
      <c r="GG267" s="33"/>
      <c r="GH267" s="33"/>
      <c r="GI267" s="33"/>
      <c r="GJ267" s="33"/>
      <c r="GK267" s="33"/>
      <c r="GL267" s="33"/>
      <c r="GM267" s="33"/>
      <c r="GN267" s="33"/>
      <c r="GO267" s="33"/>
      <c r="GP267" s="33"/>
      <c r="GQ267" s="33"/>
      <c r="GR267" s="33"/>
      <c r="GS267" s="33"/>
      <c r="GT267" s="33"/>
      <c r="GU267" s="33"/>
      <c r="GV267" s="33"/>
      <c r="GW267" s="33"/>
      <c r="GX267" s="33"/>
      <c r="GY267" s="33"/>
      <c r="GZ267" s="33"/>
      <c r="HA267" s="33"/>
      <c r="HB267" s="33"/>
      <c r="HC267" s="33"/>
      <c r="HD267" s="33"/>
      <c r="HE267" s="33"/>
      <c r="HF267" s="33"/>
      <c r="HG267" s="33"/>
      <c r="HH267" s="33"/>
      <c r="HI267" s="33"/>
      <c r="HJ267" s="33"/>
      <c r="HK267" s="33"/>
      <c r="HL267" s="33"/>
      <c r="HM267" s="33"/>
      <c r="HN267" s="33"/>
      <c r="HO267" s="33"/>
      <c r="HP267" s="33"/>
      <c r="HQ267" s="33"/>
      <c r="HR267" s="33"/>
      <c r="HS267" s="33"/>
      <c r="HT267" s="33"/>
      <c r="HU267" s="33"/>
      <c r="HV267" s="33"/>
      <c r="HW267" s="33"/>
      <c r="HX267" s="33"/>
      <c r="HY267" s="33"/>
      <c r="HZ267" s="33"/>
      <c r="IA267" s="33"/>
      <c r="IB267" s="33"/>
      <c r="IC267" s="33"/>
      <c r="ID267" s="33"/>
      <c r="IE267" s="33"/>
      <c r="IF267" s="33"/>
      <c r="IG267" s="33"/>
      <c r="IH267" s="33"/>
      <c r="II267" s="33"/>
      <c r="IJ267" s="33"/>
      <c r="IK267" s="33"/>
      <c r="IL267" s="33"/>
      <c r="IM267" s="33"/>
      <c r="IN267" s="33"/>
      <c r="IO267" s="33"/>
      <c r="IP267" s="33"/>
      <c r="IQ267" s="33"/>
      <c r="IR267" s="33"/>
      <c r="IS267" s="33"/>
      <c r="IT267" s="33"/>
      <c r="IU267" s="33"/>
      <c r="IV267" s="33"/>
      <c r="IW267" s="33"/>
      <c r="IX267" s="33"/>
      <c r="IY267" s="33"/>
      <c r="IZ267" s="33"/>
      <c r="JA267" s="33"/>
      <c r="JB267" s="33"/>
      <c r="JC267" s="33"/>
      <c r="JD267" s="33"/>
      <c r="JE267" s="33"/>
      <c r="JF267" s="33"/>
      <c r="JG267" s="33"/>
      <c r="JH267" s="33"/>
      <c r="JI267" s="33"/>
      <c r="JJ267" s="33"/>
      <c r="JK267" s="33"/>
      <c r="JL267" s="33"/>
      <c r="JM267" s="33"/>
      <c r="JN267" s="33"/>
      <c r="JO267" s="33"/>
      <c r="JP267" s="33"/>
      <c r="JQ267" s="33"/>
      <c r="JR267" s="33"/>
      <c r="JS267" s="33"/>
      <c r="JT267" s="33"/>
      <c r="JU267" s="33"/>
      <c r="JV267" s="33"/>
      <c r="JW267" s="33"/>
      <c r="JX267" s="33"/>
      <c r="JY267" s="33"/>
      <c r="JZ267" s="33"/>
      <c r="KA267" s="33"/>
      <c r="KB267" s="33"/>
      <c r="KC267" s="33"/>
      <c r="KD267" s="33"/>
      <c r="KE267" s="33"/>
      <c r="KF267" s="33"/>
      <c r="KG267" s="33"/>
    </row>
    <row r="268" spans="1:293" s="20" customFormat="1">
      <c r="A268" s="25"/>
      <c r="B268" s="28">
        <v>3400</v>
      </c>
      <c r="C268" s="28">
        <v>57.3444</v>
      </c>
      <c r="D268" s="28">
        <v>3.6178499999999998</v>
      </c>
      <c r="E268" s="29">
        <v>0.27200000000000002</v>
      </c>
      <c r="F268" s="19"/>
      <c r="G268" s="19"/>
      <c r="H268" s="32">
        <v>0.86016599999999999</v>
      </c>
      <c r="I268" s="32">
        <v>0.86016599999999999</v>
      </c>
      <c r="J268" s="19">
        <f t="shared" si="76"/>
        <v>0.86016599999999999</v>
      </c>
      <c r="K268" s="19">
        <v>200</v>
      </c>
      <c r="L268" s="19">
        <v>6.8</v>
      </c>
      <c r="M268" s="19">
        <f t="shared" si="77"/>
        <v>3.6756756756756754</v>
      </c>
      <c r="N268" s="19">
        <v>0.66785186200000002</v>
      </c>
      <c r="O268" s="20">
        <f t="shared" si="75"/>
        <v>0.58197319941563153</v>
      </c>
      <c r="P268" s="20">
        <f t="shared" si="78"/>
        <v>1.1475646347127335</v>
      </c>
      <c r="Q268" s="21">
        <v>54.383661310000001</v>
      </c>
      <c r="R268" s="20">
        <f t="shared" si="68"/>
        <v>238.07770391683812</v>
      </c>
      <c r="S268" s="20">
        <f t="shared" si="69"/>
        <v>255.97704619619736</v>
      </c>
      <c r="T268" s="20">
        <f t="shared" si="70"/>
        <v>220.17836163747882</v>
      </c>
      <c r="U268">
        <f t="shared" si="71"/>
        <v>17.899342279359246</v>
      </c>
      <c r="V268">
        <f t="shared" si="72"/>
        <v>17.899342279359303</v>
      </c>
      <c r="W268">
        <f t="shared" si="73"/>
        <v>17.899342279359274</v>
      </c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  <c r="GE268" s="33"/>
      <c r="GF268" s="33"/>
      <c r="GG268" s="33"/>
      <c r="GH268" s="33"/>
      <c r="GI268" s="33"/>
      <c r="GJ268" s="33"/>
      <c r="GK268" s="33"/>
      <c r="GL268" s="33"/>
      <c r="GM268" s="33"/>
      <c r="GN268" s="33"/>
      <c r="GO268" s="33"/>
      <c r="GP268" s="33"/>
      <c r="GQ268" s="33"/>
      <c r="GR268" s="33"/>
      <c r="GS268" s="33"/>
      <c r="GT268" s="33"/>
      <c r="GU268" s="33"/>
      <c r="GV268" s="33"/>
      <c r="GW268" s="33"/>
      <c r="GX268" s="33"/>
      <c r="GY268" s="33"/>
      <c r="GZ268" s="33"/>
      <c r="HA268" s="33"/>
      <c r="HB268" s="33"/>
      <c r="HC268" s="33"/>
      <c r="HD268" s="33"/>
      <c r="HE268" s="33"/>
      <c r="HF268" s="33"/>
      <c r="HG268" s="33"/>
      <c r="HH268" s="33"/>
      <c r="HI268" s="33"/>
      <c r="HJ268" s="33"/>
      <c r="HK268" s="33"/>
      <c r="HL268" s="33"/>
      <c r="HM268" s="33"/>
      <c r="HN268" s="33"/>
      <c r="HO268" s="33"/>
      <c r="HP268" s="33"/>
      <c r="HQ268" s="33"/>
      <c r="HR268" s="33"/>
      <c r="HS268" s="33"/>
      <c r="HT268" s="33"/>
      <c r="HU268" s="33"/>
      <c r="HV268" s="33"/>
      <c r="HW268" s="33"/>
      <c r="HX268" s="33"/>
      <c r="HY268" s="33"/>
      <c r="HZ268" s="33"/>
      <c r="IA268" s="33"/>
      <c r="IB268" s="33"/>
      <c r="IC268" s="33"/>
      <c r="ID268" s="33"/>
      <c r="IE268" s="33"/>
      <c r="IF268" s="33"/>
      <c r="IG268" s="33"/>
      <c r="IH268" s="33"/>
      <c r="II268" s="33"/>
      <c r="IJ268" s="33"/>
      <c r="IK268" s="33"/>
      <c r="IL268" s="33"/>
      <c r="IM268" s="33"/>
      <c r="IN268" s="33"/>
      <c r="IO268" s="33"/>
      <c r="IP268" s="33"/>
      <c r="IQ268" s="33"/>
      <c r="IR268" s="33"/>
      <c r="IS268" s="33"/>
      <c r="IT268" s="33"/>
      <c r="IU268" s="33"/>
      <c r="IV268" s="33"/>
      <c r="IW268" s="33"/>
      <c r="IX268" s="33"/>
      <c r="IY268" s="33"/>
      <c r="IZ268" s="33"/>
      <c r="JA268" s="33"/>
      <c r="JB268" s="33"/>
      <c r="JC268" s="33"/>
      <c r="JD268" s="33"/>
      <c r="JE268" s="33"/>
      <c r="JF268" s="33"/>
      <c r="JG268" s="33"/>
      <c r="JH268" s="33"/>
      <c r="JI268" s="33"/>
      <c r="JJ268" s="33"/>
      <c r="JK268" s="33"/>
      <c r="JL268" s="33"/>
      <c r="JM268" s="33"/>
      <c r="JN268" s="33"/>
      <c r="JO268" s="33"/>
      <c r="JP268" s="33"/>
      <c r="JQ268" s="33"/>
      <c r="JR268" s="33"/>
      <c r="JS268" s="33"/>
      <c r="JT268" s="33"/>
      <c r="JU268" s="33"/>
      <c r="JV268" s="33"/>
      <c r="JW268" s="33"/>
      <c r="JX268" s="33"/>
      <c r="JY268" s="33"/>
      <c r="JZ268" s="33"/>
      <c r="KA268" s="33"/>
      <c r="KB268" s="33"/>
      <c r="KC268" s="33"/>
      <c r="KD268" s="33"/>
      <c r="KE268" s="33"/>
      <c r="KF268" s="33"/>
      <c r="KG268" s="33"/>
    </row>
    <row r="269" spans="1:293" s="20" customFormat="1">
      <c r="A269" s="25"/>
      <c r="B269" s="28">
        <v>3400</v>
      </c>
      <c r="C269" s="28">
        <v>61.7468</v>
      </c>
      <c r="D269" s="28">
        <v>3.52007</v>
      </c>
      <c r="E269" s="29">
        <v>0.26500000000000001</v>
      </c>
      <c r="F269" s="19"/>
      <c r="G269" s="19"/>
      <c r="H269" s="32">
        <v>0.92620199999999997</v>
      </c>
      <c r="I269" s="32">
        <v>0.92620199999999997</v>
      </c>
      <c r="J269" s="19">
        <f t="shared" si="76"/>
        <v>0.92620199999999997</v>
      </c>
      <c r="K269" s="19">
        <v>200</v>
      </c>
      <c r="L269" s="19">
        <v>6.8</v>
      </c>
      <c r="M269" s="19">
        <f t="shared" si="77"/>
        <v>3.6756756756756754</v>
      </c>
      <c r="N269" s="19">
        <v>0.66785186200000002</v>
      </c>
      <c r="O269" s="20">
        <f t="shared" si="75"/>
        <v>0.58197319941563153</v>
      </c>
      <c r="P269" s="20">
        <f t="shared" si="78"/>
        <v>1.1475646347127335</v>
      </c>
      <c r="Q269" s="21">
        <v>58.05100332</v>
      </c>
      <c r="R269" s="20">
        <f t="shared" si="68"/>
        <v>249.42668292419344</v>
      </c>
      <c r="S269" s="20">
        <f t="shared" si="69"/>
        <v>268.20417058066369</v>
      </c>
      <c r="T269" s="20">
        <f t="shared" si="70"/>
        <v>230.64919526772314</v>
      </c>
      <c r="U269">
        <f t="shared" si="71"/>
        <v>18.777487656470242</v>
      </c>
      <c r="V269">
        <f t="shared" si="72"/>
        <v>18.777487656470299</v>
      </c>
      <c r="W269">
        <f t="shared" si="73"/>
        <v>18.777487656470271</v>
      </c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  <c r="GE269" s="33"/>
      <c r="GF269" s="33"/>
      <c r="GG269" s="33"/>
      <c r="GH269" s="33"/>
      <c r="GI269" s="33"/>
      <c r="GJ269" s="33"/>
      <c r="GK269" s="33"/>
      <c r="GL269" s="33"/>
      <c r="GM269" s="33"/>
      <c r="GN269" s="33"/>
      <c r="GO269" s="33"/>
      <c r="GP269" s="33"/>
      <c r="GQ269" s="33"/>
      <c r="GR269" s="33"/>
      <c r="GS269" s="33"/>
      <c r="GT269" s="33"/>
      <c r="GU269" s="33"/>
      <c r="GV269" s="33"/>
      <c r="GW269" s="33"/>
      <c r="GX269" s="33"/>
      <c r="GY269" s="33"/>
      <c r="GZ269" s="33"/>
      <c r="HA269" s="33"/>
      <c r="HB269" s="33"/>
      <c r="HC269" s="33"/>
      <c r="HD269" s="33"/>
      <c r="HE269" s="33"/>
      <c r="HF269" s="33"/>
      <c r="HG269" s="33"/>
      <c r="HH269" s="33"/>
      <c r="HI269" s="33"/>
      <c r="HJ269" s="33"/>
      <c r="HK269" s="33"/>
      <c r="HL269" s="33"/>
      <c r="HM269" s="33"/>
      <c r="HN269" s="33"/>
      <c r="HO269" s="33"/>
      <c r="HP269" s="33"/>
      <c r="HQ269" s="33"/>
      <c r="HR269" s="33"/>
      <c r="HS269" s="33"/>
      <c r="HT269" s="33"/>
      <c r="HU269" s="33"/>
      <c r="HV269" s="33"/>
      <c r="HW269" s="33"/>
      <c r="HX269" s="33"/>
      <c r="HY269" s="33"/>
      <c r="HZ269" s="33"/>
      <c r="IA269" s="33"/>
      <c r="IB269" s="33"/>
      <c r="IC269" s="33"/>
      <c r="ID269" s="33"/>
      <c r="IE269" s="33"/>
      <c r="IF269" s="33"/>
      <c r="IG269" s="33"/>
      <c r="IH269" s="33"/>
      <c r="II269" s="33"/>
      <c r="IJ269" s="33"/>
      <c r="IK269" s="33"/>
      <c r="IL269" s="33"/>
      <c r="IM269" s="33"/>
      <c r="IN269" s="33"/>
      <c r="IO269" s="33"/>
      <c r="IP269" s="33"/>
      <c r="IQ269" s="33"/>
      <c r="IR269" s="33"/>
      <c r="IS269" s="33"/>
      <c r="IT269" s="33"/>
      <c r="IU269" s="33"/>
      <c r="IV269" s="33"/>
      <c r="IW269" s="33"/>
      <c r="IX269" s="33"/>
      <c r="IY269" s="33"/>
      <c r="IZ269" s="33"/>
      <c r="JA269" s="33"/>
      <c r="JB269" s="33"/>
      <c r="JC269" s="33"/>
      <c r="JD269" s="33"/>
      <c r="JE269" s="33"/>
      <c r="JF269" s="33"/>
      <c r="JG269" s="33"/>
      <c r="JH269" s="33"/>
      <c r="JI269" s="33"/>
      <c r="JJ269" s="33"/>
      <c r="JK269" s="33"/>
      <c r="JL269" s="33"/>
      <c r="JM269" s="33"/>
      <c r="JN269" s="33"/>
      <c r="JO269" s="33"/>
      <c r="JP269" s="33"/>
      <c r="JQ269" s="33"/>
      <c r="JR269" s="33"/>
      <c r="JS269" s="33"/>
      <c r="JT269" s="33"/>
      <c r="JU269" s="33"/>
      <c r="JV269" s="33"/>
      <c r="JW269" s="33"/>
      <c r="JX269" s="33"/>
      <c r="JY269" s="33"/>
      <c r="JZ269" s="33"/>
      <c r="KA269" s="33"/>
      <c r="KB269" s="33"/>
      <c r="KC269" s="33"/>
      <c r="KD269" s="33"/>
      <c r="KE269" s="33"/>
      <c r="KF269" s="33"/>
      <c r="KG269" s="33"/>
    </row>
    <row r="270" spans="1:293" s="20" customFormat="1">
      <c r="A270" s="25"/>
      <c r="B270" s="28">
        <v>3400</v>
      </c>
      <c r="C270" s="28">
        <v>66.487099999999998</v>
      </c>
      <c r="D270" s="28">
        <v>3.4253499999999999</v>
      </c>
      <c r="E270" s="29">
        <v>0.25800000000000001</v>
      </c>
      <c r="F270" s="19"/>
      <c r="G270" s="19"/>
      <c r="H270" s="32">
        <v>0.99730649999999998</v>
      </c>
      <c r="I270" s="32">
        <v>0.99730649999999998</v>
      </c>
      <c r="J270" s="19">
        <f t="shared" si="76"/>
        <v>0.99730649999999998</v>
      </c>
      <c r="K270" s="19">
        <v>200</v>
      </c>
      <c r="L270" s="19">
        <v>6.8</v>
      </c>
      <c r="M270" s="19">
        <f t="shared" si="77"/>
        <v>3.6756756756756754</v>
      </c>
      <c r="N270" s="19">
        <v>0.66785186200000002</v>
      </c>
      <c r="O270" s="20">
        <f t="shared" si="75"/>
        <v>0.58197319941563153</v>
      </c>
      <c r="P270" s="20">
        <f t="shared" si="78"/>
        <v>1.1475646347127335</v>
      </c>
      <c r="Q270" s="21">
        <v>61.963553650000001</v>
      </c>
      <c r="R270" s="20">
        <f t="shared" si="68"/>
        <v>261.34819222490438</v>
      </c>
      <c r="S270" s="20">
        <f t="shared" si="69"/>
        <v>281.0331393380535</v>
      </c>
      <c r="T270" s="20">
        <f t="shared" si="70"/>
        <v>241.66324511175526</v>
      </c>
      <c r="U270">
        <f t="shared" si="71"/>
        <v>19.684947113149121</v>
      </c>
      <c r="V270">
        <f t="shared" si="72"/>
        <v>19.684947113149121</v>
      </c>
      <c r="W270">
        <f t="shared" si="73"/>
        <v>19.684947113149121</v>
      </c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  <c r="GE270" s="33"/>
      <c r="GF270" s="33"/>
      <c r="GG270" s="33"/>
      <c r="GH270" s="33"/>
      <c r="GI270" s="33"/>
      <c r="GJ270" s="33"/>
      <c r="GK270" s="33"/>
      <c r="GL270" s="33"/>
      <c r="GM270" s="33"/>
      <c r="GN270" s="33"/>
      <c r="GO270" s="33"/>
      <c r="GP270" s="33"/>
      <c r="GQ270" s="33"/>
      <c r="GR270" s="33"/>
      <c r="GS270" s="33"/>
      <c r="GT270" s="33"/>
      <c r="GU270" s="33"/>
      <c r="GV270" s="33"/>
      <c r="GW270" s="33"/>
      <c r="GX270" s="33"/>
      <c r="GY270" s="33"/>
      <c r="GZ270" s="33"/>
      <c r="HA270" s="33"/>
      <c r="HB270" s="33"/>
      <c r="HC270" s="33"/>
      <c r="HD270" s="33"/>
      <c r="HE270" s="33"/>
      <c r="HF270" s="33"/>
      <c r="HG270" s="33"/>
      <c r="HH270" s="33"/>
      <c r="HI270" s="33"/>
      <c r="HJ270" s="33"/>
      <c r="HK270" s="33"/>
      <c r="HL270" s="33"/>
      <c r="HM270" s="33"/>
      <c r="HN270" s="33"/>
      <c r="HO270" s="33"/>
      <c r="HP270" s="33"/>
      <c r="HQ270" s="33"/>
      <c r="HR270" s="33"/>
      <c r="HS270" s="33"/>
      <c r="HT270" s="33"/>
      <c r="HU270" s="33"/>
      <c r="HV270" s="33"/>
      <c r="HW270" s="33"/>
      <c r="HX270" s="33"/>
      <c r="HY270" s="33"/>
      <c r="HZ270" s="33"/>
      <c r="IA270" s="33"/>
      <c r="IB270" s="33"/>
      <c r="IC270" s="33"/>
      <c r="ID270" s="33"/>
      <c r="IE270" s="33"/>
      <c r="IF270" s="33"/>
      <c r="IG270" s="33"/>
      <c r="IH270" s="33"/>
      <c r="II270" s="33"/>
      <c r="IJ270" s="33"/>
      <c r="IK270" s="33"/>
      <c r="IL270" s="33"/>
      <c r="IM270" s="33"/>
      <c r="IN270" s="33"/>
      <c r="IO270" s="33"/>
      <c r="IP270" s="33"/>
      <c r="IQ270" s="33"/>
      <c r="IR270" s="33"/>
      <c r="IS270" s="33"/>
      <c r="IT270" s="33"/>
      <c r="IU270" s="33"/>
      <c r="IV270" s="33"/>
      <c r="IW270" s="33"/>
      <c r="IX270" s="33"/>
      <c r="IY270" s="33"/>
      <c r="IZ270" s="33"/>
      <c r="JA270" s="33"/>
      <c r="JB270" s="33"/>
      <c r="JC270" s="33"/>
      <c r="JD270" s="33"/>
      <c r="JE270" s="33"/>
      <c r="JF270" s="33"/>
      <c r="JG270" s="33"/>
      <c r="JH270" s="33"/>
      <c r="JI270" s="33"/>
      <c r="JJ270" s="33"/>
      <c r="JK270" s="33"/>
      <c r="JL270" s="33"/>
      <c r="JM270" s="33"/>
      <c r="JN270" s="33"/>
      <c r="JO270" s="33"/>
      <c r="JP270" s="33"/>
      <c r="JQ270" s="33"/>
      <c r="JR270" s="33"/>
      <c r="JS270" s="33"/>
      <c r="JT270" s="33"/>
      <c r="JU270" s="33"/>
      <c r="JV270" s="33"/>
      <c r="JW270" s="33"/>
      <c r="JX270" s="33"/>
      <c r="JY270" s="33"/>
      <c r="JZ270" s="33"/>
      <c r="KA270" s="33"/>
      <c r="KB270" s="33"/>
      <c r="KC270" s="33"/>
      <c r="KD270" s="33"/>
      <c r="KE270" s="33"/>
      <c r="KF270" s="33"/>
      <c r="KG270" s="33"/>
    </row>
    <row r="271" spans="1:293" s="20" customFormat="1">
      <c r="A271" s="25"/>
      <c r="B271" s="28">
        <v>3400</v>
      </c>
      <c r="C271" s="28">
        <v>71.591300000000004</v>
      </c>
      <c r="D271" s="28">
        <v>3.3325800000000001</v>
      </c>
      <c r="E271" s="29">
        <v>0.251</v>
      </c>
      <c r="F271" s="19"/>
      <c r="G271" s="19"/>
      <c r="H271" s="32">
        <v>1.0738695</v>
      </c>
      <c r="I271" s="32">
        <v>1.0738695</v>
      </c>
      <c r="J271" s="19">
        <f t="shared" si="76"/>
        <v>1.0738695</v>
      </c>
      <c r="K271" s="19">
        <v>200</v>
      </c>
      <c r="L271" s="19">
        <v>6.8</v>
      </c>
      <c r="M271" s="19">
        <f t="shared" si="77"/>
        <v>3.6756756756756754</v>
      </c>
      <c r="N271" s="19">
        <v>0.66785186200000002</v>
      </c>
      <c r="O271" s="20">
        <f t="shared" si="75"/>
        <v>0.58197319941563153</v>
      </c>
      <c r="P271" s="20">
        <f t="shared" si="78"/>
        <v>1.1475646347127335</v>
      </c>
      <c r="Q271" s="21">
        <v>66.133506120000007</v>
      </c>
      <c r="R271" s="20">
        <f t="shared" si="68"/>
        <v>273.79025619186081</v>
      </c>
      <c r="S271" s="20">
        <f t="shared" si="69"/>
        <v>294.41132284417137</v>
      </c>
      <c r="T271" s="20">
        <f t="shared" si="70"/>
        <v>253.1691895395503</v>
      </c>
      <c r="U271">
        <f t="shared" si="71"/>
        <v>20.62106665231056</v>
      </c>
      <c r="V271">
        <f t="shared" si="72"/>
        <v>20.621066652310503</v>
      </c>
      <c r="W271">
        <f t="shared" si="73"/>
        <v>20.621066652310532</v>
      </c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  <c r="GE271" s="33"/>
      <c r="GF271" s="33"/>
      <c r="GG271" s="33"/>
      <c r="GH271" s="33"/>
      <c r="GI271" s="33"/>
      <c r="GJ271" s="33"/>
      <c r="GK271" s="33"/>
      <c r="GL271" s="33"/>
      <c r="GM271" s="33"/>
      <c r="GN271" s="33"/>
      <c r="GO271" s="33"/>
      <c r="GP271" s="33"/>
      <c r="GQ271" s="33"/>
      <c r="GR271" s="33"/>
      <c r="GS271" s="33"/>
      <c r="GT271" s="33"/>
      <c r="GU271" s="33"/>
      <c r="GV271" s="33"/>
      <c r="GW271" s="33"/>
      <c r="GX271" s="33"/>
      <c r="GY271" s="33"/>
      <c r="GZ271" s="33"/>
      <c r="HA271" s="33"/>
      <c r="HB271" s="33"/>
      <c r="HC271" s="33"/>
      <c r="HD271" s="33"/>
      <c r="HE271" s="33"/>
      <c r="HF271" s="33"/>
      <c r="HG271" s="33"/>
      <c r="HH271" s="33"/>
      <c r="HI271" s="33"/>
      <c r="HJ271" s="33"/>
      <c r="HK271" s="33"/>
      <c r="HL271" s="33"/>
      <c r="HM271" s="33"/>
      <c r="HN271" s="33"/>
      <c r="HO271" s="33"/>
      <c r="HP271" s="33"/>
      <c r="HQ271" s="33"/>
      <c r="HR271" s="33"/>
      <c r="HS271" s="33"/>
      <c r="HT271" s="33"/>
      <c r="HU271" s="33"/>
      <c r="HV271" s="33"/>
      <c r="HW271" s="33"/>
      <c r="HX271" s="33"/>
      <c r="HY271" s="33"/>
      <c r="HZ271" s="33"/>
      <c r="IA271" s="33"/>
      <c r="IB271" s="33"/>
      <c r="IC271" s="33"/>
      <c r="ID271" s="33"/>
      <c r="IE271" s="33"/>
      <c r="IF271" s="33"/>
      <c r="IG271" s="33"/>
      <c r="IH271" s="33"/>
      <c r="II271" s="33"/>
      <c r="IJ271" s="33"/>
      <c r="IK271" s="33"/>
      <c r="IL271" s="33"/>
      <c r="IM271" s="33"/>
      <c r="IN271" s="33"/>
      <c r="IO271" s="33"/>
      <c r="IP271" s="33"/>
      <c r="IQ271" s="33"/>
      <c r="IR271" s="33"/>
      <c r="IS271" s="33"/>
      <c r="IT271" s="33"/>
      <c r="IU271" s="33"/>
      <c r="IV271" s="33"/>
      <c r="IW271" s="33"/>
      <c r="IX271" s="33"/>
      <c r="IY271" s="33"/>
      <c r="IZ271" s="33"/>
      <c r="JA271" s="33"/>
      <c r="JB271" s="33"/>
      <c r="JC271" s="33"/>
      <c r="JD271" s="33"/>
      <c r="JE271" s="33"/>
      <c r="JF271" s="33"/>
      <c r="JG271" s="33"/>
      <c r="JH271" s="33"/>
      <c r="JI271" s="33"/>
      <c r="JJ271" s="33"/>
      <c r="JK271" s="33"/>
      <c r="JL271" s="33"/>
      <c r="JM271" s="33"/>
      <c r="JN271" s="33"/>
      <c r="JO271" s="33"/>
      <c r="JP271" s="33"/>
      <c r="JQ271" s="33"/>
      <c r="JR271" s="33"/>
      <c r="JS271" s="33"/>
      <c r="JT271" s="33"/>
      <c r="JU271" s="33"/>
      <c r="JV271" s="33"/>
      <c r="JW271" s="33"/>
      <c r="JX271" s="33"/>
      <c r="JY271" s="33"/>
      <c r="JZ271" s="33"/>
      <c r="KA271" s="33"/>
      <c r="KB271" s="33"/>
      <c r="KC271" s="33"/>
      <c r="KD271" s="33"/>
      <c r="KE271" s="33"/>
      <c r="KF271" s="33"/>
      <c r="KG271" s="33"/>
    </row>
    <row r="272" spans="1:293" s="20" customFormat="1">
      <c r="A272" s="25"/>
      <c r="B272" s="28">
        <v>3400</v>
      </c>
      <c r="C272" s="28">
        <v>77.087400000000002</v>
      </c>
      <c r="D272" s="28">
        <v>3.2396699999999998</v>
      </c>
      <c r="E272" s="29">
        <v>0.24399999999999999</v>
      </c>
      <c r="F272" s="19"/>
      <c r="G272" s="19"/>
      <c r="H272" s="32">
        <v>1.1563110000000001</v>
      </c>
      <c r="I272" s="32">
        <v>1.1563110000000001</v>
      </c>
      <c r="J272" s="19">
        <f t="shared" si="76"/>
        <v>1.1563110000000001</v>
      </c>
      <c r="K272" s="19">
        <v>200</v>
      </c>
      <c r="L272" s="19">
        <v>6.8</v>
      </c>
      <c r="M272" s="19">
        <f t="shared" si="77"/>
        <v>3.6756756756756754</v>
      </c>
      <c r="N272" s="19">
        <v>0.66785186200000002</v>
      </c>
      <c r="O272" s="20">
        <f t="shared" si="75"/>
        <v>0.58197319941563153</v>
      </c>
      <c r="P272" s="20">
        <f t="shared" si="78"/>
        <v>1.1475646347127335</v>
      </c>
      <c r="Q272" s="21">
        <v>70.572695640000006</v>
      </c>
      <c r="R272" s="20">
        <f t="shared" si="68"/>
        <v>286.59019511570489</v>
      </c>
      <c r="S272" s="20">
        <f t="shared" si="69"/>
        <v>308.17511197706182</v>
      </c>
      <c r="T272" s="20">
        <f t="shared" si="70"/>
        <v>265.00527825434801</v>
      </c>
      <c r="U272">
        <f t="shared" si="71"/>
        <v>21.58491686135693</v>
      </c>
      <c r="V272">
        <f t="shared" si="72"/>
        <v>21.584916861356874</v>
      </c>
      <c r="W272">
        <f t="shared" si="73"/>
        <v>21.584916861356902</v>
      </c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  <c r="GE272" s="33"/>
      <c r="GF272" s="33"/>
      <c r="GG272" s="33"/>
      <c r="GH272" s="33"/>
      <c r="GI272" s="33"/>
      <c r="GJ272" s="33"/>
      <c r="GK272" s="33"/>
      <c r="GL272" s="33"/>
      <c r="GM272" s="33"/>
      <c r="GN272" s="33"/>
      <c r="GO272" s="33"/>
      <c r="GP272" s="33"/>
      <c r="GQ272" s="33"/>
      <c r="GR272" s="33"/>
      <c r="GS272" s="33"/>
      <c r="GT272" s="33"/>
      <c r="GU272" s="33"/>
      <c r="GV272" s="33"/>
      <c r="GW272" s="33"/>
      <c r="GX272" s="33"/>
      <c r="GY272" s="33"/>
      <c r="GZ272" s="33"/>
      <c r="HA272" s="33"/>
      <c r="HB272" s="33"/>
      <c r="HC272" s="33"/>
      <c r="HD272" s="33"/>
      <c r="HE272" s="33"/>
      <c r="HF272" s="33"/>
      <c r="HG272" s="33"/>
      <c r="HH272" s="33"/>
      <c r="HI272" s="33"/>
      <c r="HJ272" s="33"/>
      <c r="HK272" s="33"/>
      <c r="HL272" s="33"/>
      <c r="HM272" s="33"/>
      <c r="HN272" s="33"/>
      <c r="HO272" s="33"/>
      <c r="HP272" s="33"/>
      <c r="HQ272" s="33"/>
      <c r="HR272" s="33"/>
      <c r="HS272" s="33"/>
      <c r="HT272" s="33"/>
      <c r="HU272" s="33"/>
      <c r="HV272" s="33"/>
      <c r="HW272" s="33"/>
      <c r="HX272" s="33"/>
      <c r="HY272" s="33"/>
      <c r="HZ272" s="33"/>
      <c r="IA272" s="33"/>
      <c r="IB272" s="33"/>
      <c r="IC272" s="33"/>
      <c r="ID272" s="33"/>
      <c r="IE272" s="33"/>
      <c r="IF272" s="33"/>
      <c r="IG272" s="33"/>
      <c r="IH272" s="33"/>
      <c r="II272" s="33"/>
      <c r="IJ272" s="33"/>
      <c r="IK272" s="33"/>
      <c r="IL272" s="33"/>
      <c r="IM272" s="33"/>
      <c r="IN272" s="33"/>
      <c r="IO272" s="33"/>
      <c r="IP272" s="33"/>
      <c r="IQ272" s="33"/>
      <c r="IR272" s="33"/>
      <c r="IS272" s="33"/>
      <c r="IT272" s="33"/>
      <c r="IU272" s="33"/>
      <c r="IV272" s="33"/>
      <c r="IW272" s="33"/>
      <c r="IX272" s="33"/>
      <c r="IY272" s="33"/>
      <c r="IZ272" s="33"/>
      <c r="JA272" s="33"/>
      <c r="JB272" s="33"/>
      <c r="JC272" s="33"/>
      <c r="JD272" s="33"/>
      <c r="JE272" s="33"/>
      <c r="JF272" s="33"/>
      <c r="JG272" s="33"/>
      <c r="JH272" s="33"/>
      <c r="JI272" s="33"/>
      <c r="JJ272" s="33"/>
      <c r="JK272" s="33"/>
      <c r="JL272" s="33"/>
      <c r="JM272" s="33"/>
      <c r="JN272" s="33"/>
      <c r="JO272" s="33"/>
      <c r="JP272" s="33"/>
      <c r="JQ272" s="33"/>
      <c r="JR272" s="33"/>
      <c r="JS272" s="33"/>
      <c r="JT272" s="33"/>
      <c r="JU272" s="33"/>
      <c r="JV272" s="33"/>
      <c r="JW272" s="33"/>
      <c r="JX272" s="33"/>
      <c r="JY272" s="33"/>
      <c r="JZ272" s="33"/>
      <c r="KA272" s="33"/>
      <c r="KB272" s="33"/>
      <c r="KC272" s="33"/>
      <c r="KD272" s="33"/>
      <c r="KE272" s="33"/>
      <c r="KF272" s="33"/>
      <c r="KG272" s="33"/>
    </row>
    <row r="273" spans="1:293" s="20" customFormat="1">
      <c r="A273" s="25"/>
      <c r="B273" s="28">
        <v>3400</v>
      </c>
      <c r="C273" s="28">
        <v>83.005399999999995</v>
      </c>
      <c r="D273" s="28">
        <v>3.14499</v>
      </c>
      <c r="E273" s="29">
        <v>0.23599999999999999</v>
      </c>
      <c r="F273" s="19"/>
      <c r="G273" s="19"/>
      <c r="H273" s="32">
        <v>1.2450810000000001</v>
      </c>
      <c r="I273" s="32">
        <v>1.2450810000000001</v>
      </c>
      <c r="J273" s="19">
        <f t="shared" si="76"/>
        <v>1.2450809999999999</v>
      </c>
      <c r="K273" s="19">
        <v>200</v>
      </c>
      <c r="L273" s="19">
        <v>6.8</v>
      </c>
      <c r="M273" s="19">
        <f t="shared" si="77"/>
        <v>3.6756756756756754</v>
      </c>
      <c r="N273" s="19">
        <v>0.66785186200000002</v>
      </c>
      <c r="O273" s="20">
        <f t="shared" si="75"/>
        <v>0.58197319941563153</v>
      </c>
      <c r="P273" s="20">
        <f t="shared" si="78"/>
        <v>1.1475646347127335</v>
      </c>
      <c r="Q273" s="21">
        <v>75.292016160000003</v>
      </c>
      <c r="R273" s="20">
        <f t="shared" si="68"/>
        <v>299.57307097181445</v>
      </c>
      <c r="S273" s="20">
        <f t="shared" si="69"/>
        <v>322.05302949293787</v>
      </c>
      <c r="T273" s="20">
        <f t="shared" si="70"/>
        <v>277.09311245069091</v>
      </c>
      <c r="U273">
        <f t="shared" si="71"/>
        <v>22.479958521123422</v>
      </c>
      <c r="V273">
        <f t="shared" si="72"/>
        <v>22.479958521123535</v>
      </c>
      <c r="W273">
        <f t="shared" si="73"/>
        <v>22.479958521123478</v>
      </c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  <c r="GE273" s="33"/>
      <c r="GF273" s="33"/>
      <c r="GG273" s="33"/>
      <c r="GH273" s="33"/>
      <c r="GI273" s="33"/>
      <c r="GJ273" s="33"/>
      <c r="GK273" s="33"/>
      <c r="GL273" s="33"/>
      <c r="GM273" s="33"/>
      <c r="GN273" s="33"/>
      <c r="GO273" s="33"/>
      <c r="GP273" s="33"/>
      <c r="GQ273" s="33"/>
      <c r="GR273" s="33"/>
      <c r="GS273" s="33"/>
      <c r="GT273" s="33"/>
      <c r="GU273" s="33"/>
      <c r="GV273" s="33"/>
      <c r="GW273" s="33"/>
      <c r="GX273" s="33"/>
      <c r="GY273" s="33"/>
      <c r="GZ273" s="33"/>
      <c r="HA273" s="33"/>
      <c r="HB273" s="33"/>
      <c r="HC273" s="33"/>
      <c r="HD273" s="33"/>
      <c r="HE273" s="33"/>
      <c r="HF273" s="33"/>
      <c r="HG273" s="33"/>
      <c r="HH273" s="33"/>
      <c r="HI273" s="33"/>
      <c r="HJ273" s="33"/>
      <c r="HK273" s="33"/>
      <c r="HL273" s="33"/>
      <c r="HM273" s="33"/>
      <c r="HN273" s="33"/>
      <c r="HO273" s="33"/>
      <c r="HP273" s="33"/>
      <c r="HQ273" s="33"/>
      <c r="HR273" s="33"/>
      <c r="HS273" s="33"/>
      <c r="HT273" s="33"/>
      <c r="HU273" s="33"/>
      <c r="HV273" s="33"/>
      <c r="HW273" s="33"/>
      <c r="HX273" s="33"/>
      <c r="HY273" s="33"/>
      <c r="HZ273" s="33"/>
      <c r="IA273" s="33"/>
      <c r="IB273" s="33"/>
      <c r="IC273" s="33"/>
      <c r="ID273" s="33"/>
      <c r="IE273" s="33"/>
      <c r="IF273" s="33"/>
      <c r="IG273" s="33"/>
      <c r="IH273" s="33"/>
      <c r="II273" s="33"/>
      <c r="IJ273" s="33"/>
      <c r="IK273" s="33"/>
      <c r="IL273" s="33"/>
      <c r="IM273" s="33"/>
      <c r="IN273" s="33"/>
      <c r="IO273" s="33"/>
      <c r="IP273" s="33"/>
      <c r="IQ273" s="33"/>
      <c r="IR273" s="33"/>
      <c r="IS273" s="33"/>
      <c r="IT273" s="33"/>
      <c r="IU273" s="33"/>
      <c r="IV273" s="33"/>
      <c r="IW273" s="33"/>
      <c r="IX273" s="33"/>
      <c r="IY273" s="33"/>
      <c r="IZ273" s="33"/>
      <c r="JA273" s="33"/>
      <c r="JB273" s="33"/>
      <c r="JC273" s="33"/>
      <c r="JD273" s="33"/>
      <c r="JE273" s="33"/>
      <c r="JF273" s="33"/>
      <c r="JG273" s="33"/>
      <c r="JH273" s="33"/>
      <c r="JI273" s="33"/>
      <c r="JJ273" s="33"/>
      <c r="JK273" s="33"/>
      <c r="JL273" s="33"/>
      <c r="JM273" s="33"/>
      <c r="JN273" s="33"/>
      <c r="JO273" s="33"/>
      <c r="JP273" s="33"/>
      <c r="JQ273" s="33"/>
      <c r="JR273" s="33"/>
      <c r="JS273" s="33"/>
      <c r="JT273" s="33"/>
      <c r="JU273" s="33"/>
      <c r="JV273" s="33"/>
      <c r="JW273" s="33"/>
      <c r="JX273" s="33"/>
      <c r="JY273" s="33"/>
      <c r="JZ273" s="33"/>
      <c r="KA273" s="33"/>
      <c r="KB273" s="33"/>
      <c r="KC273" s="33"/>
      <c r="KD273" s="33"/>
      <c r="KE273" s="33"/>
      <c r="KF273" s="33"/>
      <c r="KG273" s="33"/>
    </row>
    <row r="274" spans="1:293" s="20" customFormat="1">
      <c r="A274" s="25"/>
      <c r="B274" s="28">
        <v>3400</v>
      </c>
      <c r="C274" s="28">
        <v>89.377799999999993</v>
      </c>
      <c r="D274" s="28">
        <v>3.0488599999999999</v>
      </c>
      <c r="E274" s="29">
        <v>0.22900000000000001</v>
      </c>
      <c r="F274" s="19"/>
      <c r="G274" s="19"/>
      <c r="H274" s="32">
        <v>1.3406670000000001</v>
      </c>
      <c r="I274" s="32">
        <v>1.3406670000000001</v>
      </c>
      <c r="J274" s="19">
        <f t="shared" si="76"/>
        <v>1.3406669999999998</v>
      </c>
      <c r="K274" s="19">
        <v>200</v>
      </c>
      <c r="L274" s="19">
        <v>6.8</v>
      </c>
      <c r="M274" s="19">
        <f t="shared" si="77"/>
        <v>3.6756756756756754</v>
      </c>
      <c r="N274" s="19">
        <v>0.66785186200000002</v>
      </c>
      <c r="O274" s="20">
        <f t="shared" si="75"/>
        <v>0.58197319941563153</v>
      </c>
      <c r="P274" s="20">
        <f t="shared" si="78"/>
        <v>1.1475646347127335</v>
      </c>
      <c r="Q274" s="21">
        <v>80.300768239999996</v>
      </c>
      <c r="R274" s="20">
        <f t="shared" si="68"/>
        <v>312.71182119095903</v>
      </c>
      <c r="S274" s="20">
        <f t="shared" si="69"/>
        <v>336.19961894248894</v>
      </c>
      <c r="T274" s="20">
        <f t="shared" si="70"/>
        <v>289.22402343942906</v>
      </c>
      <c r="U274">
        <f t="shared" si="71"/>
        <v>23.487797751529911</v>
      </c>
      <c r="V274">
        <f t="shared" si="72"/>
        <v>23.487797751529968</v>
      </c>
      <c r="W274">
        <f t="shared" si="73"/>
        <v>23.487797751529939</v>
      </c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  <c r="GE274" s="33"/>
      <c r="GF274" s="33"/>
      <c r="GG274" s="33"/>
      <c r="GH274" s="33"/>
      <c r="GI274" s="33"/>
      <c r="GJ274" s="33"/>
      <c r="GK274" s="33"/>
      <c r="GL274" s="33"/>
      <c r="GM274" s="33"/>
      <c r="GN274" s="33"/>
      <c r="GO274" s="33"/>
      <c r="GP274" s="33"/>
      <c r="GQ274" s="33"/>
      <c r="GR274" s="33"/>
      <c r="GS274" s="33"/>
      <c r="GT274" s="33"/>
      <c r="GU274" s="33"/>
      <c r="GV274" s="33"/>
      <c r="GW274" s="33"/>
      <c r="GX274" s="33"/>
      <c r="GY274" s="33"/>
      <c r="GZ274" s="33"/>
      <c r="HA274" s="33"/>
      <c r="HB274" s="33"/>
      <c r="HC274" s="33"/>
      <c r="HD274" s="33"/>
      <c r="HE274" s="33"/>
      <c r="HF274" s="33"/>
      <c r="HG274" s="33"/>
      <c r="HH274" s="33"/>
      <c r="HI274" s="33"/>
      <c r="HJ274" s="33"/>
      <c r="HK274" s="33"/>
      <c r="HL274" s="33"/>
      <c r="HM274" s="33"/>
      <c r="HN274" s="33"/>
      <c r="HO274" s="33"/>
      <c r="HP274" s="33"/>
      <c r="HQ274" s="33"/>
      <c r="HR274" s="33"/>
      <c r="HS274" s="33"/>
      <c r="HT274" s="33"/>
      <c r="HU274" s="33"/>
      <c r="HV274" s="33"/>
      <c r="HW274" s="33"/>
      <c r="HX274" s="33"/>
      <c r="HY274" s="33"/>
      <c r="HZ274" s="33"/>
      <c r="IA274" s="33"/>
      <c r="IB274" s="33"/>
      <c r="IC274" s="33"/>
      <c r="ID274" s="33"/>
      <c r="IE274" s="33"/>
      <c r="IF274" s="33"/>
      <c r="IG274" s="33"/>
      <c r="IH274" s="33"/>
      <c r="II274" s="33"/>
      <c r="IJ274" s="33"/>
      <c r="IK274" s="33"/>
      <c r="IL274" s="33"/>
      <c r="IM274" s="33"/>
      <c r="IN274" s="33"/>
      <c r="IO274" s="33"/>
      <c r="IP274" s="33"/>
      <c r="IQ274" s="33"/>
      <c r="IR274" s="33"/>
      <c r="IS274" s="33"/>
      <c r="IT274" s="33"/>
      <c r="IU274" s="33"/>
      <c r="IV274" s="33"/>
      <c r="IW274" s="33"/>
      <c r="IX274" s="33"/>
      <c r="IY274" s="33"/>
      <c r="IZ274" s="33"/>
      <c r="JA274" s="33"/>
      <c r="JB274" s="33"/>
      <c r="JC274" s="33"/>
      <c r="JD274" s="33"/>
      <c r="JE274" s="33"/>
      <c r="JF274" s="33"/>
      <c r="JG274" s="33"/>
      <c r="JH274" s="33"/>
      <c r="JI274" s="33"/>
      <c r="JJ274" s="33"/>
      <c r="JK274" s="33"/>
      <c r="JL274" s="33"/>
      <c r="JM274" s="33"/>
      <c r="JN274" s="33"/>
      <c r="JO274" s="33"/>
      <c r="JP274" s="33"/>
      <c r="JQ274" s="33"/>
      <c r="JR274" s="33"/>
      <c r="JS274" s="33"/>
      <c r="JT274" s="33"/>
      <c r="JU274" s="33"/>
      <c r="JV274" s="33"/>
      <c r="JW274" s="33"/>
      <c r="JX274" s="33"/>
      <c r="JY274" s="33"/>
      <c r="JZ274" s="33"/>
      <c r="KA274" s="33"/>
      <c r="KB274" s="33"/>
      <c r="KC274" s="33"/>
      <c r="KD274" s="33"/>
      <c r="KE274" s="33"/>
      <c r="KF274" s="33"/>
      <c r="KG274" s="33"/>
    </row>
    <row r="275" spans="1:293" s="20" customFormat="1">
      <c r="A275" s="25"/>
      <c r="B275" s="28">
        <v>3400</v>
      </c>
      <c r="C275" s="28">
        <v>96.239400000000003</v>
      </c>
      <c r="D275" s="28">
        <v>2.9518200000000001</v>
      </c>
      <c r="E275" s="29">
        <v>0.222</v>
      </c>
      <c r="F275" s="19"/>
      <c r="G275" s="19"/>
      <c r="H275" s="32">
        <v>1.4435910000000001</v>
      </c>
      <c r="I275" s="32">
        <v>1.4435910000000001</v>
      </c>
      <c r="J275" s="19">
        <f t="shared" si="76"/>
        <v>1.4435910000000001</v>
      </c>
      <c r="K275" s="19">
        <v>200</v>
      </c>
      <c r="L275" s="19">
        <v>6.8</v>
      </c>
      <c r="M275" s="19">
        <f t="shared" si="77"/>
        <v>3.6756756756756754</v>
      </c>
      <c r="N275" s="19">
        <v>0.66785186200000002</v>
      </c>
      <c r="O275" s="20">
        <f t="shared" si="75"/>
        <v>0.58197319941563153</v>
      </c>
      <c r="P275" s="20">
        <f t="shared" si="78"/>
        <v>1.1475646347127335</v>
      </c>
      <c r="Q275" s="21">
        <v>85.607678079999999</v>
      </c>
      <c r="R275" s="20">
        <f t="shared" si="68"/>
        <v>326.00175161868822</v>
      </c>
      <c r="S275" s="20">
        <f t="shared" si="69"/>
        <v>350.51963850181414</v>
      </c>
      <c r="T275" s="20">
        <f t="shared" si="70"/>
        <v>301.48386473556229</v>
      </c>
      <c r="U275">
        <f t="shared" si="71"/>
        <v>24.517886883125925</v>
      </c>
      <c r="V275">
        <f t="shared" si="72"/>
        <v>24.517886883125925</v>
      </c>
      <c r="W275">
        <f t="shared" si="73"/>
        <v>24.517886883125925</v>
      </c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  <c r="GE275" s="33"/>
      <c r="GF275" s="33"/>
      <c r="GG275" s="33"/>
      <c r="GH275" s="33"/>
      <c r="GI275" s="33"/>
      <c r="GJ275" s="33"/>
      <c r="GK275" s="33"/>
      <c r="GL275" s="33"/>
      <c r="GM275" s="33"/>
      <c r="GN275" s="33"/>
      <c r="GO275" s="33"/>
      <c r="GP275" s="33"/>
      <c r="GQ275" s="33"/>
      <c r="GR275" s="33"/>
      <c r="GS275" s="33"/>
      <c r="GT275" s="33"/>
      <c r="GU275" s="33"/>
      <c r="GV275" s="33"/>
      <c r="GW275" s="33"/>
      <c r="GX275" s="33"/>
      <c r="GY275" s="33"/>
      <c r="GZ275" s="33"/>
      <c r="HA275" s="33"/>
      <c r="HB275" s="33"/>
      <c r="HC275" s="33"/>
      <c r="HD275" s="33"/>
      <c r="HE275" s="33"/>
      <c r="HF275" s="33"/>
      <c r="HG275" s="33"/>
      <c r="HH275" s="33"/>
      <c r="HI275" s="33"/>
      <c r="HJ275" s="33"/>
      <c r="HK275" s="33"/>
      <c r="HL275" s="33"/>
      <c r="HM275" s="33"/>
      <c r="HN275" s="33"/>
      <c r="HO275" s="33"/>
      <c r="HP275" s="33"/>
      <c r="HQ275" s="33"/>
      <c r="HR275" s="33"/>
      <c r="HS275" s="33"/>
      <c r="HT275" s="33"/>
      <c r="HU275" s="33"/>
      <c r="HV275" s="33"/>
      <c r="HW275" s="33"/>
      <c r="HX275" s="33"/>
      <c r="HY275" s="33"/>
      <c r="HZ275" s="33"/>
      <c r="IA275" s="33"/>
      <c r="IB275" s="33"/>
      <c r="IC275" s="33"/>
      <c r="ID275" s="33"/>
      <c r="IE275" s="33"/>
      <c r="IF275" s="33"/>
      <c r="IG275" s="33"/>
      <c r="IH275" s="33"/>
      <c r="II275" s="33"/>
      <c r="IJ275" s="33"/>
      <c r="IK275" s="33"/>
      <c r="IL275" s="33"/>
      <c r="IM275" s="33"/>
      <c r="IN275" s="33"/>
      <c r="IO275" s="33"/>
      <c r="IP275" s="33"/>
      <c r="IQ275" s="33"/>
      <c r="IR275" s="33"/>
      <c r="IS275" s="33"/>
      <c r="IT275" s="33"/>
      <c r="IU275" s="33"/>
      <c r="IV275" s="33"/>
      <c r="IW275" s="33"/>
      <c r="IX275" s="33"/>
      <c r="IY275" s="33"/>
      <c r="IZ275" s="33"/>
      <c r="JA275" s="33"/>
      <c r="JB275" s="33"/>
      <c r="JC275" s="33"/>
      <c r="JD275" s="33"/>
      <c r="JE275" s="33"/>
      <c r="JF275" s="33"/>
      <c r="JG275" s="33"/>
      <c r="JH275" s="33"/>
      <c r="JI275" s="33"/>
      <c r="JJ275" s="33"/>
      <c r="JK275" s="33"/>
      <c r="JL275" s="33"/>
      <c r="JM275" s="33"/>
      <c r="JN275" s="33"/>
      <c r="JO275" s="33"/>
      <c r="JP275" s="33"/>
      <c r="JQ275" s="33"/>
      <c r="JR275" s="33"/>
      <c r="JS275" s="33"/>
      <c r="JT275" s="33"/>
      <c r="JU275" s="33"/>
      <c r="JV275" s="33"/>
      <c r="JW275" s="33"/>
      <c r="JX275" s="33"/>
      <c r="JY275" s="33"/>
      <c r="JZ275" s="33"/>
      <c r="KA275" s="33"/>
      <c r="KB275" s="33"/>
      <c r="KC275" s="33"/>
      <c r="KD275" s="33"/>
      <c r="KE275" s="33"/>
      <c r="KF275" s="33"/>
      <c r="KG275" s="33"/>
    </row>
    <row r="276" spans="1:293" s="20" customFormat="1">
      <c r="A276" s="25"/>
      <c r="B276" s="28">
        <v>3400</v>
      </c>
      <c r="C276" s="28">
        <v>103.628</v>
      </c>
      <c r="D276" s="28">
        <v>2.85453</v>
      </c>
      <c r="E276" s="29">
        <v>0.215</v>
      </c>
      <c r="F276" s="19"/>
      <c r="G276" s="19"/>
      <c r="H276" s="32">
        <v>1.5544199999999999</v>
      </c>
      <c r="I276" s="32">
        <v>1.5544199999999999</v>
      </c>
      <c r="J276" s="19">
        <f t="shared" si="76"/>
        <v>1.5544199999999999</v>
      </c>
      <c r="K276" s="19">
        <v>200</v>
      </c>
      <c r="L276" s="19">
        <v>6.8</v>
      </c>
      <c r="M276" s="19">
        <f t="shared" si="77"/>
        <v>3.6756756756756754</v>
      </c>
      <c r="N276" s="19">
        <v>0.66785186200000002</v>
      </c>
      <c r="O276" s="20">
        <f t="shared" si="75"/>
        <v>0.58197319941563153</v>
      </c>
      <c r="P276" s="20">
        <f t="shared" si="78"/>
        <v>1.1475646347127335</v>
      </c>
      <c r="Q276" s="21">
        <v>91.21953877</v>
      </c>
      <c r="R276" s="20">
        <f t="shared" ref="R276:R339" si="79">C276*D276*P276</f>
        <v>339.46021652381779</v>
      </c>
      <c r="S276" s="20">
        <f t="shared" ref="S276:S339" si="80">C276*(D276+E276)*P276</f>
        <v>365.02797953651014</v>
      </c>
      <c r="T276" s="20">
        <f t="shared" ref="T276:T339" si="81">C276*(D276-E276)*P276</f>
        <v>313.89245351112544</v>
      </c>
      <c r="U276">
        <f t="shared" ref="U276:U339" si="82">(S276-R276)</f>
        <v>25.567763012692353</v>
      </c>
      <c r="V276">
        <f t="shared" ref="V276:V339" si="83">(R276-T276)</f>
        <v>25.567763012692353</v>
      </c>
      <c r="W276">
        <f t="shared" ref="W276:W339" si="84">(U276+V276)/2</f>
        <v>25.567763012692353</v>
      </c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  <c r="GE276" s="33"/>
      <c r="GF276" s="33"/>
      <c r="GG276" s="33"/>
      <c r="GH276" s="33"/>
      <c r="GI276" s="33"/>
      <c r="GJ276" s="33"/>
      <c r="GK276" s="33"/>
      <c r="GL276" s="33"/>
      <c r="GM276" s="33"/>
      <c r="GN276" s="33"/>
      <c r="GO276" s="33"/>
      <c r="GP276" s="33"/>
      <c r="GQ276" s="33"/>
      <c r="GR276" s="33"/>
      <c r="GS276" s="33"/>
      <c r="GT276" s="33"/>
      <c r="GU276" s="33"/>
      <c r="GV276" s="33"/>
      <c r="GW276" s="33"/>
      <c r="GX276" s="33"/>
      <c r="GY276" s="33"/>
      <c r="GZ276" s="33"/>
      <c r="HA276" s="33"/>
      <c r="HB276" s="33"/>
      <c r="HC276" s="33"/>
      <c r="HD276" s="33"/>
      <c r="HE276" s="33"/>
      <c r="HF276" s="33"/>
      <c r="HG276" s="33"/>
      <c r="HH276" s="33"/>
      <c r="HI276" s="33"/>
      <c r="HJ276" s="33"/>
      <c r="HK276" s="33"/>
      <c r="HL276" s="33"/>
      <c r="HM276" s="33"/>
      <c r="HN276" s="33"/>
      <c r="HO276" s="33"/>
      <c r="HP276" s="33"/>
      <c r="HQ276" s="33"/>
      <c r="HR276" s="33"/>
      <c r="HS276" s="33"/>
      <c r="HT276" s="33"/>
      <c r="HU276" s="33"/>
      <c r="HV276" s="33"/>
      <c r="HW276" s="33"/>
      <c r="HX276" s="33"/>
      <c r="HY276" s="33"/>
      <c r="HZ276" s="33"/>
      <c r="IA276" s="33"/>
      <c r="IB276" s="33"/>
      <c r="IC276" s="33"/>
      <c r="ID276" s="33"/>
      <c r="IE276" s="33"/>
      <c r="IF276" s="33"/>
      <c r="IG276" s="33"/>
      <c r="IH276" s="33"/>
      <c r="II276" s="33"/>
      <c r="IJ276" s="33"/>
      <c r="IK276" s="33"/>
      <c r="IL276" s="33"/>
      <c r="IM276" s="33"/>
      <c r="IN276" s="33"/>
      <c r="IO276" s="33"/>
      <c r="IP276" s="33"/>
      <c r="IQ276" s="33"/>
      <c r="IR276" s="33"/>
      <c r="IS276" s="33"/>
      <c r="IT276" s="33"/>
      <c r="IU276" s="33"/>
      <c r="IV276" s="33"/>
      <c r="IW276" s="33"/>
      <c r="IX276" s="33"/>
      <c r="IY276" s="33"/>
      <c r="IZ276" s="33"/>
      <c r="JA276" s="33"/>
      <c r="JB276" s="33"/>
      <c r="JC276" s="33"/>
      <c r="JD276" s="33"/>
      <c r="JE276" s="33"/>
      <c r="JF276" s="33"/>
      <c r="JG276" s="33"/>
      <c r="JH276" s="33"/>
      <c r="JI276" s="33"/>
      <c r="JJ276" s="33"/>
      <c r="JK276" s="33"/>
      <c r="JL276" s="33"/>
      <c r="JM276" s="33"/>
      <c r="JN276" s="33"/>
      <c r="JO276" s="33"/>
      <c r="JP276" s="33"/>
      <c r="JQ276" s="33"/>
      <c r="JR276" s="33"/>
      <c r="JS276" s="33"/>
      <c r="JT276" s="33"/>
      <c r="JU276" s="33"/>
      <c r="JV276" s="33"/>
      <c r="JW276" s="33"/>
      <c r="JX276" s="33"/>
      <c r="JY276" s="33"/>
      <c r="JZ276" s="33"/>
      <c r="KA276" s="33"/>
      <c r="KB276" s="33"/>
      <c r="KC276" s="33"/>
      <c r="KD276" s="33"/>
      <c r="KE276" s="33"/>
      <c r="KF276" s="33"/>
      <c r="KG276" s="33"/>
    </row>
    <row r="277" spans="1:293" s="20" customFormat="1">
      <c r="A277" s="25"/>
      <c r="B277" s="28">
        <v>3400</v>
      </c>
      <c r="C277" s="28">
        <v>111.583</v>
      </c>
      <c r="D277" s="28">
        <v>2.7576999999999998</v>
      </c>
      <c r="E277" s="29">
        <v>0.20699999999999999</v>
      </c>
      <c r="F277" s="19"/>
      <c r="G277" s="19"/>
      <c r="H277" s="32">
        <v>1.673745</v>
      </c>
      <c r="I277" s="32">
        <v>1.673745</v>
      </c>
      <c r="J277" s="19">
        <f t="shared" si="76"/>
        <v>1.6737449999999998</v>
      </c>
      <c r="K277" s="19">
        <v>200</v>
      </c>
      <c r="L277" s="19">
        <v>6.8</v>
      </c>
      <c r="M277" s="19">
        <f t="shared" si="77"/>
        <v>3.6756756756756754</v>
      </c>
      <c r="N277" s="19">
        <v>0.66785186200000002</v>
      </c>
      <c r="O277" s="20">
        <f t="shared" si="75"/>
        <v>0.58197319941563153</v>
      </c>
      <c r="P277" s="20">
        <f t="shared" si="78"/>
        <v>1.1475646347127335</v>
      </c>
      <c r="Q277" s="21">
        <v>97.140559300000007</v>
      </c>
      <c r="R277" s="20">
        <f t="shared" si="79"/>
        <v>353.11991277235575</v>
      </c>
      <c r="S277" s="20">
        <f t="shared" si="80"/>
        <v>379.62599463183193</v>
      </c>
      <c r="T277" s="20">
        <f t="shared" si="81"/>
        <v>326.61383091287951</v>
      </c>
      <c r="U277">
        <f t="shared" si="82"/>
        <v>26.506081859476183</v>
      </c>
      <c r="V277">
        <f t="shared" si="83"/>
        <v>26.50608185947624</v>
      </c>
      <c r="W277">
        <f t="shared" si="84"/>
        <v>26.506081859476211</v>
      </c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  <c r="GE277" s="33"/>
      <c r="GF277" s="33"/>
      <c r="GG277" s="33"/>
      <c r="GH277" s="33"/>
      <c r="GI277" s="33"/>
      <c r="GJ277" s="33"/>
      <c r="GK277" s="33"/>
      <c r="GL277" s="33"/>
      <c r="GM277" s="33"/>
      <c r="GN277" s="33"/>
      <c r="GO277" s="33"/>
      <c r="GP277" s="33"/>
      <c r="GQ277" s="33"/>
      <c r="GR277" s="33"/>
      <c r="GS277" s="33"/>
      <c r="GT277" s="33"/>
      <c r="GU277" s="33"/>
      <c r="GV277" s="33"/>
      <c r="GW277" s="33"/>
      <c r="GX277" s="33"/>
      <c r="GY277" s="33"/>
      <c r="GZ277" s="33"/>
      <c r="HA277" s="33"/>
      <c r="HB277" s="33"/>
      <c r="HC277" s="33"/>
      <c r="HD277" s="33"/>
      <c r="HE277" s="33"/>
      <c r="HF277" s="33"/>
      <c r="HG277" s="33"/>
      <c r="HH277" s="33"/>
      <c r="HI277" s="33"/>
      <c r="HJ277" s="33"/>
      <c r="HK277" s="33"/>
      <c r="HL277" s="33"/>
      <c r="HM277" s="33"/>
      <c r="HN277" s="33"/>
      <c r="HO277" s="33"/>
      <c r="HP277" s="33"/>
      <c r="HQ277" s="33"/>
      <c r="HR277" s="33"/>
      <c r="HS277" s="33"/>
      <c r="HT277" s="33"/>
      <c r="HU277" s="33"/>
      <c r="HV277" s="33"/>
      <c r="HW277" s="33"/>
      <c r="HX277" s="33"/>
      <c r="HY277" s="33"/>
      <c r="HZ277" s="33"/>
      <c r="IA277" s="33"/>
      <c r="IB277" s="33"/>
      <c r="IC277" s="33"/>
      <c r="ID277" s="33"/>
      <c r="IE277" s="33"/>
      <c r="IF277" s="33"/>
      <c r="IG277" s="33"/>
      <c r="IH277" s="33"/>
      <c r="II277" s="33"/>
      <c r="IJ277" s="33"/>
      <c r="IK277" s="33"/>
      <c r="IL277" s="33"/>
      <c r="IM277" s="33"/>
      <c r="IN277" s="33"/>
      <c r="IO277" s="33"/>
      <c r="IP277" s="33"/>
      <c r="IQ277" s="33"/>
      <c r="IR277" s="33"/>
      <c r="IS277" s="33"/>
      <c r="IT277" s="33"/>
      <c r="IU277" s="33"/>
      <c r="IV277" s="33"/>
      <c r="IW277" s="33"/>
      <c r="IX277" s="33"/>
      <c r="IY277" s="33"/>
      <c r="IZ277" s="33"/>
      <c r="JA277" s="33"/>
      <c r="JB277" s="33"/>
      <c r="JC277" s="33"/>
      <c r="JD277" s="33"/>
      <c r="JE277" s="33"/>
      <c r="JF277" s="33"/>
      <c r="JG277" s="33"/>
      <c r="JH277" s="33"/>
      <c r="JI277" s="33"/>
      <c r="JJ277" s="33"/>
      <c r="JK277" s="33"/>
      <c r="JL277" s="33"/>
      <c r="JM277" s="33"/>
      <c r="JN277" s="33"/>
      <c r="JO277" s="33"/>
      <c r="JP277" s="33"/>
      <c r="JQ277" s="33"/>
      <c r="JR277" s="33"/>
      <c r="JS277" s="33"/>
      <c r="JT277" s="33"/>
      <c r="JU277" s="33"/>
      <c r="JV277" s="33"/>
      <c r="JW277" s="33"/>
      <c r="JX277" s="33"/>
      <c r="JY277" s="33"/>
      <c r="JZ277" s="33"/>
      <c r="KA277" s="33"/>
      <c r="KB277" s="33"/>
      <c r="KC277" s="33"/>
      <c r="KD277" s="33"/>
      <c r="KE277" s="33"/>
      <c r="KF277" s="33"/>
      <c r="KG277" s="33"/>
    </row>
    <row r="278" spans="1:293" s="20" customFormat="1">
      <c r="A278" s="25"/>
      <c r="B278" s="28">
        <v>3400</v>
      </c>
      <c r="C278" s="28">
        <v>120.15</v>
      </c>
      <c r="D278" s="28">
        <v>2.66214</v>
      </c>
      <c r="E278" s="29">
        <v>0.2</v>
      </c>
      <c r="F278" s="19"/>
      <c r="G278" s="19"/>
      <c r="H278" s="32">
        <v>1.8022499999999999</v>
      </c>
      <c r="I278" s="32">
        <v>1.8022499999999999</v>
      </c>
      <c r="J278" s="19">
        <f t="shared" si="76"/>
        <v>1.8022499999999999</v>
      </c>
      <c r="K278" s="19">
        <v>200</v>
      </c>
      <c r="L278" s="19">
        <v>6.8</v>
      </c>
      <c r="M278" s="19">
        <f t="shared" si="77"/>
        <v>3.6756756756756754</v>
      </c>
      <c r="N278" s="19">
        <v>0.66785186200000002</v>
      </c>
      <c r="O278" s="20">
        <f t="shared" si="75"/>
        <v>0.58197319941563153</v>
      </c>
      <c r="P278" s="20">
        <f t="shared" si="78"/>
        <v>1.1475646347127335</v>
      </c>
      <c r="Q278" s="21">
        <v>103.3752782</v>
      </c>
      <c r="R278" s="20">
        <f t="shared" si="79"/>
        <v>367.05557265599691</v>
      </c>
      <c r="S278" s="20">
        <f t="shared" si="80"/>
        <v>394.63155082814393</v>
      </c>
      <c r="T278" s="20">
        <f t="shared" si="81"/>
        <v>339.47959448384989</v>
      </c>
      <c r="U278">
        <f t="shared" si="82"/>
        <v>27.575978172147018</v>
      </c>
      <c r="V278">
        <f t="shared" si="83"/>
        <v>27.575978172147018</v>
      </c>
      <c r="W278">
        <f t="shared" si="84"/>
        <v>27.575978172147018</v>
      </c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  <c r="GE278" s="33"/>
      <c r="GF278" s="33"/>
      <c r="GG278" s="33"/>
      <c r="GH278" s="33"/>
      <c r="GI278" s="33"/>
      <c r="GJ278" s="33"/>
      <c r="GK278" s="33"/>
      <c r="GL278" s="33"/>
      <c r="GM278" s="33"/>
      <c r="GN278" s="33"/>
      <c r="GO278" s="33"/>
      <c r="GP278" s="33"/>
      <c r="GQ278" s="33"/>
      <c r="GR278" s="33"/>
      <c r="GS278" s="33"/>
      <c r="GT278" s="33"/>
      <c r="GU278" s="33"/>
      <c r="GV278" s="33"/>
      <c r="GW278" s="33"/>
      <c r="GX278" s="33"/>
      <c r="GY278" s="33"/>
      <c r="GZ278" s="33"/>
      <c r="HA278" s="33"/>
      <c r="HB278" s="33"/>
      <c r="HC278" s="33"/>
      <c r="HD278" s="33"/>
      <c r="HE278" s="33"/>
      <c r="HF278" s="33"/>
      <c r="HG278" s="33"/>
      <c r="HH278" s="33"/>
      <c r="HI278" s="33"/>
      <c r="HJ278" s="33"/>
      <c r="HK278" s="33"/>
      <c r="HL278" s="33"/>
      <c r="HM278" s="33"/>
      <c r="HN278" s="33"/>
      <c r="HO278" s="33"/>
      <c r="HP278" s="33"/>
      <c r="HQ278" s="33"/>
      <c r="HR278" s="33"/>
      <c r="HS278" s="33"/>
      <c r="HT278" s="33"/>
      <c r="HU278" s="33"/>
      <c r="HV278" s="33"/>
      <c r="HW278" s="33"/>
      <c r="HX278" s="33"/>
      <c r="HY278" s="33"/>
      <c r="HZ278" s="33"/>
      <c r="IA278" s="33"/>
      <c r="IB278" s="33"/>
      <c r="IC278" s="33"/>
      <c r="ID278" s="33"/>
      <c r="IE278" s="33"/>
      <c r="IF278" s="33"/>
      <c r="IG278" s="33"/>
      <c r="IH278" s="33"/>
      <c r="II278" s="33"/>
      <c r="IJ278" s="33"/>
      <c r="IK278" s="33"/>
      <c r="IL278" s="33"/>
      <c r="IM278" s="33"/>
      <c r="IN278" s="33"/>
      <c r="IO278" s="33"/>
      <c r="IP278" s="33"/>
      <c r="IQ278" s="33"/>
      <c r="IR278" s="33"/>
      <c r="IS278" s="33"/>
      <c r="IT278" s="33"/>
      <c r="IU278" s="33"/>
      <c r="IV278" s="33"/>
      <c r="IW278" s="33"/>
      <c r="IX278" s="33"/>
      <c r="IY278" s="33"/>
      <c r="IZ278" s="33"/>
      <c r="JA278" s="33"/>
      <c r="JB278" s="33"/>
      <c r="JC278" s="33"/>
      <c r="JD278" s="33"/>
      <c r="JE278" s="33"/>
      <c r="JF278" s="33"/>
      <c r="JG278" s="33"/>
      <c r="JH278" s="33"/>
      <c r="JI278" s="33"/>
      <c r="JJ278" s="33"/>
      <c r="JK278" s="33"/>
      <c r="JL278" s="33"/>
      <c r="JM278" s="33"/>
      <c r="JN278" s="33"/>
      <c r="JO278" s="33"/>
      <c r="JP278" s="33"/>
      <c r="JQ278" s="33"/>
      <c r="JR278" s="33"/>
      <c r="JS278" s="33"/>
      <c r="JT278" s="33"/>
      <c r="JU278" s="33"/>
      <c r="JV278" s="33"/>
      <c r="JW278" s="33"/>
      <c r="JX278" s="33"/>
      <c r="JY278" s="33"/>
      <c r="JZ278" s="33"/>
      <c r="KA278" s="33"/>
      <c r="KB278" s="33"/>
      <c r="KC278" s="33"/>
      <c r="KD278" s="33"/>
      <c r="KE278" s="33"/>
      <c r="KF278" s="33"/>
      <c r="KG278" s="33"/>
    </row>
    <row r="279" spans="1:293" s="20" customFormat="1">
      <c r="A279" s="25"/>
      <c r="B279" s="28">
        <v>3400</v>
      </c>
      <c r="C279" s="28">
        <v>129.37299999999999</v>
      </c>
      <c r="D279" s="28">
        <v>2.5687000000000002</v>
      </c>
      <c r="E279" s="29">
        <v>0.193</v>
      </c>
      <c r="F279" s="19"/>
      <c r="G279" s="19"/>
      <c r="H279" s="32">
        <v>1.9405950000000001</v>
      </c>
      <c r="I279" s="32">
        <v>1.9405950000000001</v>
      </c>
      <c r="J279" s="19">
        <f t="shared" si="76"/>
        <v>1.9405949999999998</v>
      </c>
      <c r="K279" s="19">
        <v>200</v>
      </c>
      <c r="L279" s="19">
        <v>6.8</v>
      </c>
      <c r="M279" s="19">
        <f t="shared" si="77"/>
        <v>3.6756756756756754</v>
      </c>
      <c r="N279" s="19">
        <v>0.66785186200000002</v>
      </c>
      <c r="O279" s="20">
        <f t="shared" si="75"/>
        <v>0.58197319941563153</v>
      </c>
      <c r="P279" s="20">
        <f t="shared" si="78"/>
        <v>1.1475646347127335</v>
      </c>
      <c r="Q279" s="21">
        <v>109.9235985</v>
      </c>
      <c r="R279" s="20">
        <f t="shared" si="79"/>
        <v>381.35916723746186</v>
      </c>
      <c r="S279" s="20">
        <f t="shared" si="80"/>
        <v>410.01269597839308</v>
      </c>
      <c r="T279" s="20">
        <f t="shared" si="81"/>
        <v>352.70563849653058</v>
      </c>
      <c r="U279">
        <f t="shared" si="82"/>
        <v>28.653528740931222</v>
      </c>
      <c r="V279">
        <f t="shared" si="83"/>
        <v>28.653528740931279</v>
      </c>
      <c r="W279">
        <f t="shared" si="84"/>
        <v>28.65352874093125</v>
      </c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  <c r="GE279" s="33"/>
      <c r="GF279" s="33"/>
      <c r="GG279" s="33"/>
      <c r="GH279" s="33"/>
      <c r="GI279" s="33"/>
      <c r="GJ279" s="33"/>
      <c r="GK279" s="33"/>
      <c r="GL279" s="33"/>
      <c r="GM279" s="33"/>
      <c r="GN279" s="33"/>
      <c r="GO279" s="33"/>
      <c r="GP279" s="33"/>
      <c r="GQ279" s="33"/>
      <c r="GR279" s="33"/>
      <c r="GS279" s="33"/>
      <c r="GT279" s="33"/>
      <c r="GU279" s="33"/>
      <c r="GV279" s="33"/>
      <c r="GW279" s="33"/>
      <c r="GX279" s="33"/>
      <c r="GY279" s="33"/>
      <c r="GZ279" s="33"/>
      <c r="HA279" s="33"/>
      <c r="HB279" s="33"/>
      <c r="HC279" s="33"/>
      <c r="HD279" s="33"/>
      <c r="HE279" s="33"/>
      <c r="HF279" s="33"/>
      <c r="HG279" s="33"/>
      <c r="HH279" s="33"/>
      <c r="HI279" s="33"/>
      <c r="HJ279" s="33"/>
      <c r="HK279" s="33"/>
      <c r="HL279" s="33"/>
      <c r="HM279" s="33"/>
      <c r="HN279" s="33"/>
      <c r="HO279" s="33"/>
      <c r="HP279" s="33"/>
      <c r="HQ279" s="33"/>
      <c r="HR279" s="33"/>
      <c r="HS279" s="33"/>
      <c r="HT279" s="33"/>
      <c r="HU279" s="33"/>
      <c r="HV279" s="33"/>
      <c r="HW279" s="33"/>
      <c r="HX279" s="33"/>
      <c r="HY279" s="33"/>
      <c r="HZ279" s="33"/>
      <c r="IA279" s="33"/>
      <c r="IB279" s="33"/>
      <c r="IC279" s="33"/>
      <c r="ID279" s="33"/>
      <c r="IE279" s="33"/>
      <c r="IF279" s="33"/>
      <c r="IG279" s="33"/>
      <c r="IH279" s="33"/>
      <c r="II279" s="33"/>
      <c r="IJ279" s="33"/>
      <c r="IK279" s="33"/>
      <c r="IL279" s="33"/>
      <c r="IM279" s="33"/>
      <c r="IN279" s="33"/>
      <c r="IO279" s="33"/>
      <c r="IP279" s="33"/>
      <c r="IQ279" s="33"/>
      <c r="IR279" s="33"/>
      <c r="IS279" s="33"/>
      <c r="IT279" s="33"/>
      <c r="IU279" s="33"/>
      <c r="IV279" s="33"/>
      <c r="IW279" s="33"/>
      <c r="IX279" s="33"/>
      <c r="IY279" s="33"/>
      <c r="IZ279" s="33"/>
      <c r="JA279" s="33"/>
      <c r="JB279" s="33"/>
      <c r="JC279" s="33"/>
      <c r="JD279" s="33"/>
      <c r="JE279" s="33"/>
      <c r="JF279" s="33"/>
      <c r="JG279" s="33"/>
      <c r="JH279" s="33"/>
      <c r="JI279" s="33"/>
      <c r="JJ279" s="33"/>
      <c r="JK279" s="33"/>
      <c r="JL279" s="33"/>
      <c r="JM279" s="33"/>
      <c r="JN279" s="33"/>
      <c r="JO279" s="33"/>
      <c r="JP279" s="33"/>
      <c r="JQ279" s="33"/>
      <c r="JR279" s="33"/>
      <c r="JS279" s="33"/>
      <c r="JT279" s="33"/>
      <c r="JU279" s="33"/>
      <c r="JV279" s="33"/>
      <c r="JW279" s="33"/>
      <c r="JX279" s="33"/>
      <c r="JY279" s="33"/>
      <c r="JZ279" s="33"/>
      <c r="KA279" s="33"/>
      <c r="KB279" s="33"/>
      <c r="KC279" s="33"/>
      <c r="KD279" s="33"/>
      <c r="KE279" s="33"/>
      <c r="KF279" s="33"/>
      <c r="KG279" s="33"/>
    </row>
    <row r="280" spans="1:293" s="20" customFormat="1">
      <c r="A280" s="25"/>
      <c r="B280" s="28">
        <v>3400</v>
      </c>
      <c r="C280" s="28">
        <v>139.30500000000001</v>
      </c>
      <c r="D280" s="28">
        <v>2.4782799999999998</v>
      </c>
      <c r="E280" s="29">
        <v>0.186</v>
      </c>
      <c r="F280" s="19"/>
      <c r="G280" s="19"/>
      <c r="H280" s="32">
        <v>2.089575</v>
      </c>
      <c r="I280" s="32">
        <v>2.089575</v>
      </c>
      <c r="J280" s="19">
        <f t="shared" si="76"/>
        <v>2.089575</v>
      </c>
      <c r="K280" s="19">
        <v>200</v>
      </c>
      <c r="L280" s="19">
        <v>6.8</v>
      </c>
      <c r="M280" s="19">
        <f t="shared" si="77"/>
        <v>3.6756756756756754</v>
      </c>
      <c r="N280" s="19">
        <v>0.66785186200000002</v>
      </c>
      <c r="O280" s="20">
        <f t="shared" si="75"/>
        <v>0.58197319941563153</v>
      </c>
      <c r="P280" s="20">
        <f t="shared" si="78"/>
        <v>1.1475646347127335</v>
      </c>
      <c r="Q280" s="21">
        <v>116.7886737</v>
      </c>
      <c r="R280" s="20">
        <f t="shared" si="79"/>
        <v>396.18153700259575</v>
      </c>
      <c r="S280" s="20">
        <f t="shared" si="80"/>
        <v>425.91577441018597</v>
      </c>
      <c r="T280" s="20">
        <f t="shared" si="81"/>
        <v>366.44729959500546</v>
      </c>
      <c r="U280">
        <f t="shared" si="82"/>
        <v>29.734237407590228</v>
      </c>
      <c r="V280">
        <f t="shared" si="83"/>
        <v>29.734237407590285</v>
      </c>
      <c r="W280">
        <f t="shared" si="84"/>
        <v>29.734237407590257</v>
      </c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  <c r="GE280" s="33"/>
      <c r="GF280" s="33"/>
      <c r="GG280" s="33"/>
      <c r="GH280" s="33"/>
      <c r="GI280" s="33"/>
      <c r="GJ280" s="33"/>
      <c r="GK280" s="33"/>
      <c r="GL280" s="33"/>
      <c r="GM280" s="33"/>
      <c r="GN280" s="33"/>
      <c r="GO280" s="33"/>
      <c r="GP280" s="33"/>
      <c r="GQ280" s="33"/>
      <c r="GR280" s="33"/>
      <c r="GS280" s="33"/>
      <c r="GT280" s="33"/>
      <c r="GU280" s="33"/>
      <c r="GV280" s="33"/>
      <c r="GW280" s="33"/>
      <c r="GX280" s="33"/>
      <c r="GY280" s="33"/>
      <c r="GZ280" s="33"/>
      <c r="HA280" s="33"/>
      <c r="HB280" s="33"/>
      <c r="HC280" s="33"/>
      <c r="HD280" s="33"/>
      <c r="HE280" s="33"/>
      <c r="HF280" s="33"/>
      <c r="HG280" s="33"/>
      <c r="HH280" s="33"/>
      <c r="HI280" s="33"/>
      <c r="HJ280" s="33"/>
      <c r="HK280" s="33"/>
      <c r="HL280" s="33"/>
      <c r="HM280" s="33"/>
      <c r="HN280" s="33"/>
      <c r="HO280" s="33"/>
      <c r="HP280" s="33"/>
      <c r="HQ280" s="33"/>
      <c r="HR280" s="33"/>
      <c r="HS280" s="33"/>
      <c r="HT280" s="33"/>
      <c r="HU280" s="33"/>
      <c r="HV280" s="33"/>
      <c r="HW280" s="33"/>
      <c r="HX280" s="33"/>
      <c r="HY280" s="33"/>
      <c r="HZ280" s="33"/>
      <c r="IA280" s="33"/>
      <c r="IB280" s="33"/>
      <c r="IC280" s="33"/>
      <c r="ID280" s="33"/>
      <c r="IE280" s="33"/>
      <c r="IF280" s="33"/>
      <c r="IG280" s="33"/>
      <c r="IH280" s="33"/>
      <c r="II280" s="33"/>
      <c r="IJ280" s="33"/>
      <c r="IK280" s="33"/>
      <c r="IL280" s="33"/>
      <c r="IM280" s="33"/>
      <c r="IN280" s="33"/>
      <c r="IO280" s="33"/>
      <c r="IP280" s="33"/>
      <c r="IQ280" s="33"/>
      <c r="IR280" s="33"/>
      <c r="IS280" s="33"/>
      <c r="IT280" s="33"/>
      <c r="IU280" s="33"/>
      <c r="IV280" s="33"/>
      <c r="IW280" s="33"/>
      <c r="IX280" s="33"/>
      <c r="IY280" s="33"/>
      <c r="IZ280" s="33"/>
      <c r="JA280" s="33"/>
      <c r="JB280" s="33"/>
      <c r="JC280" s="33"/>
      <c r="JD280" s="33"/>
      <c r="JE280" s="33"/>
      <c r="JF280" s="33"/>
      <c r="JG280" s="33"/>
      <c r="JH280" s="33"/>
      <c r="JI280" s="33"/>
      <c r="JJ280" s="33"/>
      <c r="JK280" s="33"/>
      <c r="JL280" s="33"/>
      <c r="JM280" s="33"/>
      <c r="JN280" s="33"/>
      <c r="JO280" s="33"/>
      <c r="JP280" s="33"/>
      <c r="JQ280" s="33"/>
      <c r="JR280" s="33"/>
      <c r="JS280" s="33"/>
      <c r="JT280" s="33"/>
      <c r="JU280" s="33"/>
      <c r="JV280" s="33"/>
      <c r="JW280" s="33"/>
      <c r="JX280" s="33"/>
      <c r="JY280" s="33"/>
      <c r="JZ280" s="33"/>
      <c r="KA280" s="33"/>
      <c r="KB280" s="33"/>
      <c r="KC280" s="33"/>
      <c r="KD280" s="33"/>
      <c r="KE280" s="33"/>
      <c r="KF280" s="33"/>
      <c r="KG280" s="33"/>
    </row>
    <row r="281" spans="1:293" s="20" customFormat="1">
      <c r="A281" s="25"/>
      <c r="B281" s="28">
        <v>3400</v>
      </c>
      <c r="C281" s="28">
        <v>150</v>
      </c>
      <c r="D281" s="28">
        <v>2.39174</v>
      </c>
      <c r="E281" s="29">
        <v>0.18</v>
      </c>
      <c r="F281" s="19"/>
      <c r="G281" s="19"/>
      <c r="H281" s="32">
        <v>2.25</v>
      </c>
      <c r="I281" s="32">
        <v>2.25</v>
      </c>
      <c r="J281" s="19">
        <f t="shared" si="76"/>
        <v>2.25</v>
      </c>
      <c r="K281" s="19">
        <v>200</v>
      </c>
      <c r="L281" s="19">
        <v>6.8</v>
      </c>
      <c r="M281" s="19">
        <f t="shared" si="77"/>
        <v>3.6756756756756754</v>
      </c>
      <c r="N281" s="19">
        <v>0.66785186200000002</v>
      </c>
      <c r="O281" s="20">
        <f t="shared" si="75"/>
        <v>0.58197319941563153</v>
      </c>
      <c r="P281" s="20">
        <f t="shared" si="78"/>
        <v>1.1475646347127335</v>
      </c>
      <c r="Q281" s="21">
        <v>123.9719855</v>
      </c>
      <c r="R281" s="20">
        <f t="shared" si="79"/>
        <v>411.70143591417502</v>
      </c>
      <c r="S281" s="20">
        <f t="shared" si="80"/>
        <v>442.68568105141884</v>
      </c>
      <c r="T281" s="20">
        <f t="shared" si="81"/>
        <v>380.71719077693115</v>
      </c>
      <c r="U281">
        <f t="shared" si="82"/>
        <v>30.984245137243818</v>
      </c>
      <c r="V281">
        <f t="shared" si="83"/>
        <v>30.984245137243875</v>
      </c>
      <c r="W281">
        <f t="shared" si="84"/>
        <v>30.984245137243846</v>
      </c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  <c r="GE281" s="33"/>
      <c r="GF281" s="33"/>
      <c r="GG281" s="33"/>
      <c r="GH281" s="33"/>
      <c r="GI281" s="33"/>
      <c r="GJ281" s="33"/>
      <c r="GK281" s="33"/>
      <c r="GL281" s="33"/>
      <c r="GM281" s="33"/>
      <c r="GN281" s="33"/>
      <c r="GO281" s="33"/>
      <c r="GP281" s="33"/>
      <c r="GQ281" s="33"/>
      <c r="GR281" s="33"/>
      <c r="GS281" s="33"/>
      <c r="GT281" s="33"/>
      <c r="GU281" s="33"/>
      <c r="GV281" s="33"/>
      <c r="GW281" s="33"/>
      <c r="GX281" s="33"/>
      <c r="GY281" s="33"/>
      <c r="GZ281" s="33"/>
      <c r="HA281" s="33"/>
      <c r="HB281" s="33"/>
      <c r="HC281" s="33"/>
      <c r="HD281" s="33"/>
      <c r="HE281" s="33"/>
      <c r="HF281" s="33"/>
      <c r="HG281" s="33"/>
      <c r="HH281" s="33"/>
      <c r="HI281" s="33"/>
      <c r="HJ281" s="33"/>
      <c r="HK281" s="33"/>
      <c r="HL281" s="33"/>
      <c r="HM281" s="33"/>
      <c r="HN281" s="33"/>
      <c r="HO281" s="33"/>
      <c r="HP281" s="33"/>
      <c r="HQ281" s="33"/>
      <c r="HR281" s="33"/>
      <c r="HS281" s="33"/>
      <c r="HT281" s="33"/>
      <c r="HU281" s="33"/>
      <c r="HV281" s="33"/>
      <c r="HW281" s="33"/>
      <c r="HX281" s="33"/>
      <c r="HY281" s="33"/>
      <c r="HZ281" s="33"/>
      <c r="IA281" s="33"/>
      <c r="IB281" s="33"/>
      <c r="IC281" s="33"/>
      <c r="ID281" s="33"/>
      <c r="IE281" s="33"/>
      <c r="IF281" s="33"/>
      <c r="IG281" s="33"/>
      <c r="IH281" s="33"/>
      <c r="II281" s="33"/>
      <c r="IJ281" s="33"/>
      <c r="IK281" s="33"/>
      <c r="IL281" s="33"/>
      <c r="IM281" s="33"/>
      <c r="IN281" s="33"/>
      <c r="IO281" s="33"/>
      <c r="IP281" s="33"/>
      <c r="IQ281" s="33"/>
      <c r="IR281" s="33"/>
      <c r="IS281" s="33"/>
      <c r="IT281" s="33"/>
      <c r="IU281" s="33"/>
      <c r="IV281" s="33"/>
      <c r="IW281" s="33"/>
      <c r="IX281" s="33"/>
      <c r="IY281" s="33"/>
      <c r="IZ281" s="33"/>
      <c r="JA281" s="33"/>
      <c r="JB281" s="33"/>
      <c r="JC281" s="33"/>
      <c r="JD281" s="33"/>
      <c r="JE281" s="33"/>
      <c r="JF281" s="33"/>
      <c r="JG281" s="33"/>
      <c r="JH281" s="33"/>
      <c r="JI281" s="33"/>
      <c r="JJ281" s="33"/>
      <c r="JK281" s="33"/>
      <c r="JL281" s="33"/>
      <c r="JM281" s="33"/>
      <c r="JN281" s="33"/>
      <c r="JO281" s="33"/>
      <c r="JP281" s="33"/>
      <c r="JQ281" s="33"/>
      <c r="JR281" s="33"/>
      <c r="JS281" s="33"/>
      <c r="JT281" s="33"/>
      <c r="JU281" s="33"/>
      <c r="JV281" s="33"/>
      <c r="JW281" s="33"/>
      <c r="JX281" s="33"/>
      <c r="JY281" s="33"/>
      <c r="JZ281" s="33"/>
      <c r="KA281" s="33"/>
      <c r="KB281" s="33"/>
      <c r="KC281" s="33"/>
      <c r="KD281" s="33"/>
      <c r="KE281" s="33"/>
      <c r="KF281" s="33"/>
      <c r="KG281" s="33"/>
    </row>
    <row r="282" spans="1:293">
      <c r="A282" s="10" t="s">
        <v>14</v>
      </c>
      <c r="B282" s="13">
        <v>3900</v>
      </c>
      <c r="C282" s="13">
        <v>4</v>
      </c>
      <c r="D282" s="13">
        <v>6.5360800000000001</v>
      </c>
      <c r="E282" s="2">
        <v>1.4710000000000001</v>
      </c>
      <c r="F282" s="4"/>
      <c r="G282" s="4"/>
      <c r="H282" s="7">
        <v>0.06</v>
      </c>
      <c r="I282" s="7">
        <v>0.06</v>
      </c>
      <c r="J282" s="4">
        <f>0.015*C282</f>
        <v>0.06</v>
      </c>
      <c r="K282" s="3">
        <v>100</v>
      </c>
      <c r="L282" s="3">
        <v>7.8</v>
      </c>
      <c r="M282" s="3">
        <f t="shared" si="77"/>
        <v>4.2162162162162158</v>
      </c>
      <c r="N282" s="3">
        <v>0.82431339100000001</v>
      </c>
      <c r="O282">
        <f t="shared" si="75"/>
        <v>0.7064804309715117</v>
      </c>
      <c r="P282">
        <f t="shared" si="78"/>
        <v>1.166788710433849</v>
      </c>
      <c r="Q282" s="7">
        <v>4.4209476590000003</v>
      </c>
      <c r="R282">
        <f t="shared" si="79"/>
        <v>30.50489741796989</v>
      </c>
      <c r="S282">
        <f t="shared" si="80"/>
        <v>37.370282190162655</v>
      </c>
      <c r="T282">
        <f t="shared" si="81"/>
        <v>23.639512645777121</v>
      </c>
      <c r="U282">
        <f t="shared" si="82"/>
        <v>6.8653847721927654</v>
      </c>
      <c r="V282">
        <f t="shared" si="83"/>
        <v>6.865384772192769</v>
      </c>
      <c r="W282">
        <f t="shared" si="84"/>
        <v>6.8653847721927672</v>
      </c>
    </row>
    <row r="283" spans="1:293">
      <c r="A283" s="65" t="s">
        <v>78</v>
      </c>
      <c r="B283" s="13">
        <v>3900</v>
      </c>
      <c r="C283" s="13">
        <v>4.30708</v>
      </c>
      <c r="D283" s="13">
        <v>6.5448399999999998</v>
      </c>
      <c r="E283" s="2">
        <v>1.3759999999999999</v>
      </c>
      <c r="F283" s="4"/>
      <c r="G283" s="4"/>
      <c r="H283" s="7">
        <v>6.4606200000000003E-2</v>
      </c>
      <c r="I283" s="7">
        <v>6.4606200000000003E-2</v>
      </c>
      <c r="J283" s="4">
        <f t="shared" ref="J283:J331" si="85">0.015*C283</f>
        <v>6.4606200000000003E-2</v>
      </c>
      <c r="K283" s="3">
        <v>100</v>
      </c>
      <c r="L283" s="3">
        <v>7.8</v>
      </c>
      <c r="M283" s="3">
        <f t="shared" si="77"/>
        <v>4.2162162162162158</v>
      </c>
      <c r="N283" s="3">
        <v>0.82431339100000001</v>
      </c>
      <c r="O283">
        <f t="shared" si="75"/>
        <v>0.7064804309715117</v>
      </c>
      <c r="P283">
        <f t="shared" si="78"/>
        <v>1.166788710433849</v>
      </c>
      <c r="Q283" s="7">
        <v>4.754422903</v>
      </c>
      <c r="R283">
        <f t="shared" si="79"/>
        <v>32.890781355061307</v>
      </c>
      <c r="S283">
        <f t="shared" si="80"/>
        <v>39.80580374591645</v>
      </c>
      <c r="T283">
        <f t="shared" si="81"/>
        <v>25.975758964206168</v>
      </c>
      <c r="U283">
        <f t="shared" si="82"/>
        <v>6.9150223908551425</v>
      </c>
      <c r="V283">
        <f t="shared" si="83"/>
        <v>6.9150223908551389</v>
      </c>
      <c r="W283">
        <f t="shared" si="84"/>
        <v>6.9150223908551407</v>
      </c>
    </row>
    <row r="284" spans="1:293">
      <c r="A284" s="9"/>
      <c r="B284" s="13">
        <v>3900</v>
      </c>
      <c r="C284" s="13">
        <v>4.63774</v>
      </c>
      <c r="D284" s="13">
        <v>6.5490899999999996</v>
      </c>
      <c r="E284" s="2">
        <v>1.2869999999999999</v>
      </c>
      <c r="F284" s="4"/>
      <c r="G284" s="4"/>
      <c r="H284" s="7">
        <v>6.9566100000000006E-2</v>
      </c>
      <c r="I284" s="7">
        <v>6.9566100000000006E-2</v>
      </c>
      <c r="J284" s="4">
        <f t="shared" si="85"/>
        <v>6.9566099999999992E-2</v>
      </c>
      <c r="K284" s="3">
        <v>100</v>
      </c>
      <c r="L284" s="3">
        <v>7.8</v>
      </c>
      <c r="M284" s="3">
        <f t="shared" si="77"/>
        <v>4.2162162162162158</v>
      </c>
      <c r="N284" s="3">
        <v>0.82431339100000001</v>
      </c>
      <c r="O284">
        <f t="shared" si="75"/>
        <v>0.7064804309715117</v>
      </c>
      <c r="P284">
        <f t="shared" si="78"/>
        <v>1.166788710433849</v>
      </c>
      <c r="Q284" s="7">
        <v>5.0900023790000004</v>
      </c>
      <c r="R284">
        <f t="shared" si="79"/>
        <v>35.438846265191714</v>
      </c>
      <c r="S284">
        <f t="shared" si="80"/>
        <v>42.403141326536371</v>
      </c>
      <c r="T284">
        <f t="shared" si="81"/>
        <v>28.474551203847046</v>
      </c>
      <c r="U284">
        <f t="shared" si="82"/>
        <v>6.9642950613446573</v>
      </c>
      <c r="V284">
        <f t="shared" si="83"/>
        <v>6.9642950613446679</v>
      </c>
      <c r="W284">
        <f t="shared" si="84"/>
        <v>6.9642950613446626</v>
      </c>
      <c r="AQ284" s="59"/>
      <c r="AU284" s="59"/>
      <c r="AY284" s="59"/>
    </row>
    <row r="285" spans="1:293">
      <c r="A285" s="9"/>
      <c r="B285" s="13">
        <v>3900</v>
      </c>
      <c r="C285" s="13">
        <v>4.9937800000000001</v>
      </c>
      <c r="D285" s="13">
        <v>6.5480400000000003</v>
      </c>
      <c r="E285" s="2">
        <v>1.202</v>
      </c>
      <c r="F285" s="4"/>
      <c r="G285" s="4"/>
      <c r="H285" s="7">
        <v>7.4906700000000007E-2</v>
      </c>
      <c r="I285" s="7">
        <v>7.4906700000000007E-2</v>
      </c>
      <c r="J285" s="4">
        <f t="shared" si="85"/>
        <v>7.4906699999999993E-2</v>
      </c>
      <c r="K285" s="3">
        <v>100</v>
      </c>
      <c r="L285" s="3">
        <v>7.8</v>
      </c>
      <c r="M285" s="3">
        <f t="shared" si="77"/>
        <v>4.2162162162162158</v>
      </c>
      <c r="N285" s="3">
        <v>0.82431339100000001</v>
      </c>
      <c r="O285">
        <f t="shared" si="75"/>
        <v>0.7064804309715117</v>
      </c>
      <c r="P285">
        <f t="shared" si="78"/>
        <v>1.166788710433849</v>
      </c>
      <c r="Q285" s="7">
        <v>5.426732071</v>
      </c>
      <c r="R285">
        <f t="shared" si="79"/>
        <v>38.153373823049051</v>
      </c>
      <c r="S285">
        <f t="shared" si="80"/>
        <v>45.157050546970247</v>
      </c>
      <c r="T285">
        <f t="shared" si="81"/>
        <v>31.149697099127852</v>
      </c>
      <c r="U285">
        <f t="shared" si="82"/>
        <v>7.0036767239211954</v>
      </c>
      <c r="V285">
        <f t="shared" si="83"/>
        <v>7.003676723921199</v>
      </c>
      <c r="W285">
        <f t="shared" si="84"/>
        <v>7.0036767239211972</v>
      </c>
    </row>
    <row r="286" spans="1:293">
      <c r="A286" s="9"/>
      <c r="B286" s="13">
        <v>3900</v>
      </c>
      <c r="C286" s="13">
        <v>5.3771500000000003</v>
      </c>
      <c r="D286" s="13">
        <v>6.5408600000000003</v>
      </c>
      <c r="E286" s="2">
        <v>1.121</v>
      </c>
      <c r="F286" s="4"/>
      <c r="G286" s="4"/>
      <c r="H286" s="7">
        <v>8.065725E-2</v>
      </c>
      <c r="I286" s="7">
        <v>8.065725E-2</v>
      </c>
      <c r="J286" s="4">
        <f t="shared" si="85"/>
        <v>8.065725E-2</v>
      </c>
      <c r="K286" s="3">
        <v>100</v>
      </c>
      <c r="L286" s="3">
        <v>7.8</v>
      </c>
      <c r="M286" s="3">
        <f t="shared" si="77"/>
        <v>4.2162162162162158</v>
      </c>
      <c r="N286" s="3">
        <v>0.82431339100000001</v>
      </c>
      <c r="O286">
        <f t="shared" si="75"/>
        <v>0.7064804309715117</v>
      </c>
      <c r="P286">
        <f t="shared" si="78"/>
        <v>1.166788710433849</v>
      </c>
      <c r="Q286" s="7">
        <v>5.7661489359999996</v>
      </c>
      <c r="R286">
        <f t="shared" si="79"/>
        <v>41.037341997789603</v>
      </c>
      <c r="S286">
        <f t="shared" si="80"/>
        <v>48.070493659730403</v>
      </c>
      <c r="T286">
        <f t="shared" si="81"/>
        <v>34.00419033584879</v>
      </c>
      <c r="U286">
        <f t="shared" si="82"/>
        <v>7.0331516619407992</v>
      </c>
      <c r="V286">
        <f t="shared" si="83"/>
        <v>7.0331516619408134</v>
      </c>
      <c r="W286">
        <f t="shared" si="84"/>
        <v>7.0331516619408063</v>
      </c>
    </row>
    <row r="287" spans="1:293">
      <c r="A287" s="9"/>
      <c r="B287" s="13">
        <v>3900</v>
      </c>
      <c r="C287" s="13">
        <v>5.7899599999999998</v>
      </c>
      <c r="D287" s="13">
        <v>6.5266999999999999</v>
      </c>
      <c r="E287" s="2">
        <v>1.044</v>
      </c>
      <c r="F287" s="4"/>
      <c r="G287" s="4"/>
      <c r="H287" s="7">
        <v>8.6849399999999993E-2</v>
      </c>
      <c r="I287" s="7">
        <v>8.6849399999999993E-2</v>
      </c>
      <c r="J287" s="4">
        <f t="shared" si="85"/>
        <v>8.6849399999999993E-2</v>
      </c>
      <c r="K287" s="3">
        <v>100</v>
      </c>
      <c r="L287" s="3">
        <v>7.8</v>
      </c>
      <c r="M287" s="3">
        <f t="shared" si="77"/>
        <v>4.2162162162162158</v>
      </c>
      <c r="N287" s="3">
        <v>0.82431339100000001</v>
      </c>
      <c r="O287">
        <f t="shared" ref="O287:O350" si="86">-0.03754*M287^2+0.5266*M287-0.84645</f>
        <v>0.7064804309715117</v>
      </c>
      <c r="P287">
        <f t="shared" si="78"/>
        <v>1.166788710433849</v>
      </c>
      <c r="Q287" s="7">
        <v>6.1136472199999998</v>
      </c>
      <c r="R287">
        <f t="shared" si="79"/>
        <v>44.092165873094949</v>
      </c>
      <c r="S287">
        <f t="shared" si="80"/>
        <v>51.145074873280514</v>
      </c>
      <c r="T287">
        <f t="shared" si="81"/>
        <v>37.039256872909377</v>
      </c>
      <c r="U287">
        <f t="shared" si="82"/>
        <v>7.052909000185565</v>
      </c>
      <c r="V287">
        <f t="shared" si="83"/>
        <v>7.0529090001855721</v>
      </c>
      <c r="W287">
        <f t="shared" si="84"/>
        <v>7.0529090001855685</v>
      </c>
    </row>
    <row r="288" spans="1:293">
      <c r="A288" s="9"/>
      <c r="B288" s="13">
        <v>3900</v>
      </c>
      <c r="C288" s="13">
        <v>6.2344600000000003</v>
      </c>
      <c r="D288" s="13">
        <v>6.50474</v>
      </c>
      <c r="E288" s="2">
        <v>0.97099999999999997</v>
      </c>
      <c r="F288" s="4"/>
      <c r="G288" s="4"/>
      <c r="H288" s="7">
        <v>9.35169E-2</v>
      </c>
      <c r="I288" s="7">
        <v>9.35169E-2</v>
      </c>
      <c r="J288" s="4">
        <f t="shared" si="85"/>
        <v>9.35169E-2</v>
      </c>
      <c r="K288" s="3">
        <v>100</v>
      </c>
      <c r="L288" s="3">
        <v>7.8</v>
      </c>
      <c r="M288" s="3">
        <f t="shared" si="77"/>
        <v>4.2162162162162158</v>
      </c>
      <c r="N288" s="3">
        <v>0.82431339100000001</v>
      </c>
      <c r="O288">
        <f t="shared" si="86"/>
        <v>0.7064804309715117</v>
      </c>
      <c r="P288">
        <f t="shared" si="78"/>
        <v>1.166788710433849</v>
      </c>
      <c r="Q288" s="7">
        <v>6.4810032660000001</v>
      </c>
      <c r="R288">
        <f t="shared" si="79"/>
        <v>47.317414204091101</v>
      </c>
      <c r="S288">
        <f t="shared" si="80"/>
        <v>54.380757118976625</v>
      </c>
      <c r="T288">
        <f t="shared" si="81"/>
        <v>40.254071289205584</v>
      </c>
      <c r="U288">
        <f t="shared" si="82"/>
        <v>7.0633429148855242</v>
      </c>
      <c r="V288">
        <f t="shared" si="83"/>
        <v>7.0633429148855171</v>
      </c>
      <c r="W288">
        <f t="shared" si="84"/>
        <v>7.0633429148855207</v>
      </c>
    </row>
    <row r="289" spans="1:23">
      <c r="A289" s="9"/>
      <c r="B289" s="13">
        <v>3900</v>
      </c>
      <c r="C289" s="13">
        <v>6.7130799999999997</v>
      </c>
      <c r="D289" s="13">
        <v>6.4742199999999999</v>
      </c>
      <c r="E289" s="2">
        <v>0.90200000000000002</v>
      </c>
      <c r="F289" s="4"/>
      <c r="G289" s="4"/>
      <c r="H289" s="7">
        <v>0.1006962</v>
      </c>
      <c r="I289" s="7">
        <v>0.1006962</v>
      </c>
      <c r="J289" s="4">
        <f t="shared" si="85"/>
        <v>0.10069619999999999</v>
      </c>
      <c r="K289" s="3">
        <v>100</v>
      </c>
      <c r="L289" s="3">
        <v>7.8</v>
      </c>
      <c r="M289" s="3">
        <f t="shared" si="77"/>
        <v>4.2162162162162158</v>
      </c>
      <c r="N289" s="3">
        <v>0.82431339100000001</v>
      </c>
      <c r="O289">
        <f t="shared" si="86"/>
        <v>0.7064804309715117</v>
      </c>
      <c r="P289">
        <f t="shared" si="78"/>
        <v>1.166788710433849</v>
      </c>
      <c r="Q289" s="7">
        <v>6.8787811860000003</v>
      </c>
      <c r="R289">
        <f t="shared" si="79"/>
        <v>50.710920524803356</v>
      </c>
      <c r="S289">
        <f t="shared" si="80"/>
        <v>57.776057377331178</v>
      </c>
      <c r="T289">
        <f t="shared" si="81"/>
        <v>43.645783672275549</v>
      </c>
      <c r="U289">
        <f t="shared" si="82"/>
        <v>7.0651368525278215</v>
      </c>
      <c r="V289">
        <f t="shared" si="83"/>
        <v>7.0651368525278073</v>
      </c>
      <c r="W289">
        <f t="shared" si="84"/>
        <v>7.0651368525278144</v>
      </c>
    </row>
    <row r="290" spans="1:23">
      <c r="A290" s="9"/>
      <c r="B290" s="13">
        <v>3900</v>
      </c>
      <c r="C290" s="13">
        <v>7.22844</v>
      </c>
      <c r="D290" s="13">
        <v>6.4345299999999996</v>
      </c>
      <c r="E290" s="2">
        <v>0.83599999999999997</v>
      </c>
      <c r="F290" s="4"/>
      <c r="G290" s="4"/>
      <c r="H290" s="7">
        <v>0.1084266</v>
      </c>
      <c r="I290" s="7">
        <v>0.1084266</v>
      </c>
      <c r="J290" s="4">
        <f t="shared" si="85"/>
        <v>0.1084266</v>
      </c>
      <c r="K290" s="3">
        <v>100</v>
      </c>
      <c r="L290" s="3">
        <v>7.8</v>
      </c>
      <c r="M290" s="3">
        <f t="shared" si="77"/>
        <v>4.2162162162162158</v>
      </c>
      <c r="N290" s="3">
        <v>0.82431339100000001</v>
      </c>
      <c r="O290">
        <f t="shared" si="86"/>
        <v>0.7064804309715117</v>
      </c>
      <c r="P290">
        <f t="shared" si="78"/>
        <v>1.166788710433849</v>
      </c>
      <c r="Q290" s="7">
        <v>7.3116550480000004</v>
      </c>
      <c r="R290">
        <f t="shared" si="79"/>
        <v>54.269226157994339</v>
      </c>
      <c r="S290">
        <f t="shared" si="80"/>
        <v>61.320102145530853</v>
      </c>
      <c r="T290">
        <f t="shared" si="81"/>
        <v>47.218350170457832</v>
      </c>
      <c r="U290">
        <f t="shared" si="82"/>
        <v>7.0508759875365143</v>
      </c>
      <c r="V290">
        <f t="shared" si="83"/>
        <v>7.0508759875365072</v>
      </c>
      <c r="W290">
        <f t="shared" si="84"/>
        <v>7.0508759875365108</v>
      </c>
    </row>
    <row r="291" spans="1:23">
      <c r="A291" s="9"/>
      <c r="B291" s="13">
        <v>3900</v>
      </c>
      <c r="C291" s="13">
        <v>7.7833699999999997</v>
      </c>
      <c r="D291" s="13">
        <v>6.3853099999999996</v>
      </c>
      <c r="E291" s="2">
        <v>0.77400000000000002</v>
      </c>
      <c r="F291" s="4"/>
      <c r="G291" s="4"/>
      <c r="H291" s="7">
        <v>0.11675054999999999</v>
      </c>
      <c r="I291" s="7">
        <v>0.11675054999999999</v>
      </c>
      <c r="J291" s="4">
        <f t="shared" si="85"/>
        <v>0.11675054999999999</v>
      </c>
      <c r="K291" s="3">
        <v>100</v>
      </c>
      <c r="L291" s="3">
        <v>7.8</v>
      </c>
      <c r="M291" s="3">
        <f t="shared" si="77"/>
        <v>4.2162162162162158</v>
      </c>
      <c r="N291" s="3">
        <v>0.82431339100000001</v>
      </c>
      <c r="O291">
        <f t="shared" si="86"/>
        <v>0.7064804309715117</v>
      </c>
      <c r="P291">
        <f t="shared" si="78"/>
        <v>1.166788710433849</v>
      </c>
      <c r="Q291" s="7">
        <v>7.7848190280000003</v>
      </c>
      <c r="R291">
        <f t="shared" si="79"/>
        <v>57.988500825107892</v>
      </c>
      <c r="S291">
        <f t="shared" si="80"/>
        <v>65.017619166838131</v>
      </c>
      <c r="T291">
        <f t="shared" si="81"/>
        <v>50.959382483377652</v>
      </c>
      <c r="U291">
        <f t="shared" si="82"/>
        <v>7.0291183417302392</v>
      </c>
      <c r="V291">
        <f t="shared" si="83"/>
        <v>7.0291183417302392</v>
      </c>
      <c r="W291">
        <f t="shared" si="84"/>
        <v>7.0291183417302392</v>
      </c>
    </row>
    <row r="292" spans="1:23">
      <c r="A292" s="9"/>
      <c r="B292" s="13">
        <v>3900</v>
      </c>
      <c r="C292" s="13">
        <v>8.3809000000000005</v>
      </c>
      <c r="D292" s="13">
        <v>6.3265799999999999</v>
      </c>
      <c r="E292" s="2">
        <v>0.71499999999999997</v>
      </c>
      <c r="F292" s="4"/>
      <c r="G292" s="4"/>
      <c r="H292" s="7">
        <v>0.12571350000000001</v>
      </c>
      <c r="I292" s="7">
        <v>0.12571350000000001</v>
      </c>
      <c r="J292" s="4">
        <f t="shared" si="85"/>
        <v>0.12571350000000001</v>
      </c>
      <c r="K292" s="3">
        <v>100</v>
      </c>
      <c r="L292" s="3">
        <v>7.8</v>
      </c>
      <c r="M292" s="3">
        <f t="shared" si="77"/>
        <v>4.2162162162162158</v>
      </c>
      <c r="N292" s="3">
        <v>0.82431339100000001</v>
      </c>
      <c r="O292">
        <f t="shared" si="86"/>
        <v>0.7064804309715117</v>
      </c>
      <c r="P292">
        <f t="shared" si="78"/>
        <v>1.166788710433849</v>
      </c>
      <c r="Q292" s="7">
        <v>8.3038872379999997</v>
      </c>
      <c r="R292">
        <f t="shared" si="79"/>
        <v>61.86597776662984</v>
      </c>
      <c r="S292">
        <f t="shared" si="80"/>
        <v>68.857776511471499</v>
      </c>
      <c r="T292">
        <f t="shared" si="81"/>
        <v>54.874179021788187</v>
      </c>
      <c r="U292">
        <f t="shared" si="82"/>
        <v>6.9917987448416596</v>
      </c>
      <c r="V292">
        <f t="shared" si="83"/>
        <v>6.9917987448416525</v>
      </c>
      <c r="W292">
        <f t="shared" si="84"/>
        <v>6.9917987448416561</v>
      </c>
    </row>
    <row r="293" spans="1:23">
      <c r="A293" s="9"/>
      <c r="B293" s="13">
        <v>3900</v>
      </c>
      <c r="C293" s="13">
        <v>9.0243099999999998</v>
      </c>
      <c r="D293" s="13">
        <v>6.2589100000000002</v>
      </c>
      <c r="E293" s="2">
        <v>0.65900000000000003</v>
      </c>
      <c r="F293" s="4"/>
      <c r="G293" s="4"/>
      <c r="H293" s="7">
        <v>0.13536465</v>
      </c>
      <c r="I293" s="7">
        <v>0.13536465</v>
      </c>
      <c r="J293" s="4">
        <f t="shared" si="85"/>
        <v>0.13536465</v>
      </c>
      <c r="K293" s="3">
        <v>100</v>
      </c>
      <c r="L293" s="3">
        <v>7.8</v>
      </c>
      <c r="M293" s="3">
        <f t="shared" si="77"/>
        <v>4.2162162162162158</v>
      </c>
      <c r="N293" s="3">
        <v>0.82431339100000001</v>
      </c>
      <c r="O293">
        <f t="shared" si="86"/>
        <v>0.7064804309715117</v>
      </c>
      <c r="P293">
        <f t="shared" si="78"/>
        <v>1.166788710433849</v>
      </c>
      <c r="Q293" s="7">
        <v>8.8754779419999998</v>
      </c>
      <c r="R293">
        <f t="shared" si="79"/>
        <v>65.902961437170177</v>
      </c>
      <c r="S293">
        <f t="shared" si="80"/>
        <v>72.841877572263215</v>
      </c>
      <c r="T293">
        <f t="shared" si="81"/>
        <v>58.964045302077146</v>
      </c>
      <c r="U293">
        <f t="shared" si="82"/>
        <v>6.938916135093038</v>
      </c>
      <c r="V293">
        <f t="shared" si="83"/>
        <v>6.9389161350930308</v>
      </c>
      <c r="W293">
        <f t="shared" si="84"/>
        <v>6.9389161350930344</v>
      </c>
    </row>
    <row r="294" spans="1:23">
      <c r="A294" s="9"/>
      <c r="B294" s="13">
        <v>3900</v>
      </c>
      <c r="C294" s="13">
        <v>9.7171099999999999</v>
      </c>
      <c r="D294" s="13">
        <v>6.1837099999999996</v>
      </c>
      <c r="E294" s="2">
        <v>0.60699999999999998</v>
      </c>
      <c r="F294" s="4"/>
      <c r="G294" s="4"/>
      <c r="H294" s="7">
        <v>0.14575664999999999</v>
      </c>
      <c r="I294" s="7">
        <v>0.14575664999999999</v>
      </c>
      <c r="J294" s="4">
        <f t="shared" si="85"/>
        <v>0.14575664999999999</v>
      </c>
      <c r="K294" s="3">
        <v>100</v>
      </c>
      <c r="L294" s="3">
        <v>7.8</v>
      </c>
      <c r="M294" s="3">
        <f t="shared" si="77"/>
        <v>4.2162162162162158</v>
      </c>
      <c r="N294" s="3">
        <v>0.82431339100000001</v>
      </c>
      <c r="O294">
        <f t="shared" si="86"/>
        <v>0.7064804309715117</v>
      </c>
      <c r="P294">
        <f t="shared" si="78"/>
        <v>1.166788710433849</v>
      </c>
      <c r="Q294" s="7">
        <v>9.5064968170000004</v>
      </c>
      <c r="R294">
        <f t="shared" si="79"/>
        <v>70.109755331403861</v>
      </c>
      <c r="S294">
        <f t="shared" si="80"/>
        <v>76.991808578752497</v>
      </c>
      <c r="T294">
        <f t="shared" si="81"/>
        <v>63.227702084055238</v>
      </c>
      <c r="U294">
        <f t="shared" si="82"/>
        <v>6.8820532473486367</v>
      </c>
      <c r="V294">
        <f t="shared" si="83"/>
        <v>6.8820532473486224</v>
      </c>
      <c r="W294">
        <f t="shared" si="84"/>
        <v>6.8820532473486296</v>
      </c>
    </row>
    <row r="295" spans="1:23">
      <c r="A295" s="9"/>
      <c r="B295" s="13">
        <v>3900</v>
      </c>
      <c r="C295" s="13">
        <v>10.463100000000001</v>
      </c>
      <c r="D295" s="13">
        <v>6.1033200000000001</v>
      </c>
      <c r="E295" s="2">
        <v>0.55800000000000005</v>
      </c>
      <c r="F295" s="4"/>
      <c r="G295" s="4"/>
      <c r="H295" s="7">
        <v>0.15694649999999999</v>
      </c>
      <c r="I295" s="7">
        <v>0.15694649999999999</v>
      </c>
      <c r="J295" s="4">
        <f t="shared" si="85"/>
        <v>0.15694650000000002</v>
      </c>
      <c r="K295" s="3">
        <v>100</v>
      </c>
      <c r="L295" s="3">
        <v>7.8</v>
      </c>
      <c r="M295" s="3">
        <f t="shared" si="77"/>
        <v>4.2162162162162158</v>
      </c>
      <c r="N295" s="3">
        <v>0.82431339100000001</v>
      </c>
      <c r="O295">
        <f t="shared" si="86"/>
        <v>0.7064804309715117</v>
      </c>
      <c r="P295">
        <f t="shared" si="78"/>
        <v>1.166788710433849</v>
      </c>
      <c r="Q295" s="7">
        <v>10.204476619999999</v>
      </c>
      <c r="R295">
        <f t="shared" si="79"/>
        <v>74.510715745950876</v>
      </c>
      <c r="S295">
        <f t="shared" si="80"/>
        <v>81.322906387477204</v>
      </c>
      <c r="T295">
        <f t="shared" si="81"/>
        <v>67.698525104424519</v>
      </c>
      <c r="U295">
        <f t="shared" si="82"/>
        <v>6.8121906415263282</v>
      </c>
      <c r="V295">
        <f t="shared" si="83"/>
        <v>6.8121906415263567</v>
      </c>
      <c r="W295">
        <f t="shared" si="84"/>
        <v>6.8121906415263425</v>
      </c>
    </row>
    <row r="296" spans="1:23">
      <c r="A296" s="9"/>
      <c r="B296" s="13">
        <v>3900</v>
      </c>
      <c r="C296" s="13">
        <v>11.266299999999999</v>
      </c>
      <c r="D296" s="13">
        <v>6.0190900000000003</v>
      </c>
      <c r="E296" s="2">
        <v>0.51200000000000001</v>
      </c>
      <c r="F296" s="4"/>
      <c r="G296" s="4"/>
      <c r="H296" s="7">
        <v>0.16899449999999999</v>
      </c>
      <c r="I296" s="7">
        <v>0.16899449999999999</v>
      </c>
      <c r="J296" s="4">
        <f t="shared" si="85"/>
        <v>0.16899449999999999</v>
      </c>
      <c r="K296" s="3">
        <v>100</v>
      </c>
      <c r="L296" s="3">
        <v>7.8</v>
      </c>
      <c r="M296" s="3">
        <f t="shared" si="77"/>
        <v>4.2162162162162158</v>
      </c>
      <c r="N296" s="3">
        <v>0.82431339100000001</v>
      </c>
      <c r="O296">
        <f t="shared" si="86"/>
        <v>0.7064804309715117</v>
      </c>
      <c r="P296">
        <f t="shared" si="78"/>
        <v>1.166788710433849</v>
      </c>
      <c r="Q296" s="7">
        <v>10.97700146</v>
      </c>
      <c r="R296">
        <f t="shared" si="79"/>
        <v>79.123295416732461</v>
      </c>
      <c r="S296">
        <f t="shared" si="80"/>
        <v>85.853735940693227</v>
      </c>
      <c r="T296">
        <f t="shared" si="81"/>
        <v>72.39285489277168</v>
      </c>
      <c r="U296">
        <f t="shared" si="82"/>
        <v>6.7304405239607661</v>
      </c>
      <c r="V296">
        <f t="shared" si="83"/>
        <v>6.7304405239607803</v>
      </c>
      <c r="W296">
        <f t="shared" si="84"/>
        <v>6.7304405239607732</v>
      </c>
    </row>
    <row r="297" spans="1:23">
      <c r="A297" s="9"/>
      <c r="B297" s="13">
        <v>3900</v>
      </c>
      <c r="C297" s="13">
        <v>12.1313</v>
      </c>
      <c r="D297" s="13">
        <v>5.9310700000000001</v>
      </c>
      <c r="E297" s="2">
        <v>0.47</v>
      </c>
      <c r="F297" s="4"/>
      <c r="G297" s="4"/>
      <c r="H297" s="7">
        <v>0.18196950000000001</v>
      </c>
      <c r="I297" s="7">
        <v>0.18196950000000001</v>
      </c>
      <c r="J297" s="4">
        <f t="shared" si="85"/>
        <v>0.18196949999999998</v>
      </c>
      <c r="K297" s="3">
        <v>100</v>
      </c>
      <c r="L297" s="3">
        <v>7.8</v>
      </c>
      <c r="M297" s="3">
        <f t="shared" ref="M297:M354" si="87">L297/1.85</f>
        <v>4.2162162162162158</v>
      </c>
      <c r="N297" s="3">
        <v>0.82431339100000001</v>
      </c>
      <c r="O297">
        <f t="shared" si="86"/>
        <v>0.7064804309715117</v>
      </c>
      <c r="P297">
        <f t="shared" si="78"/>
        <v>1.166788710433849</v>
      </c>
      <c r="Q297" s="7">
        <v>11.831419009999999</v>
      </c>
      <c r="R297">
        <f t="shared" si="79"/>
        <v>83.952302315869559</v>
      </c>
      <c r="S297">
        <f t="shared" si="80"/>
        <v>90.604994340826053</v>
      </c>
      <c r="T297">
        <f t="shared" si="81"/>
        <v>77.29961029091308</v>
      </c>
      <c r="U297">
        <f t="shared" si="82"/>
        <v>6.6526920249564938</v>
      </c>
      <c r="V297">
        <f t="shared" si="83"/>
        <v>6.6526920249564796</v>
      </c>
      <c r="W297">
        <f t="shared" si="84"/>
        <v>6.6526920249564867</v>
      </c>
    </row>
    <row r="298" spans="1:23">
      <c r="A298" s="9"/>
      <c r="B298" s="13">
        <v>3900</v>
      </c>
      <c r="C298" s="13">
        <v>13.0626</v>
      </c>
      <c r="D298" s="13">
        <v>5.8392999999999997</v>
      </c>
      <c r="E298" s="2">
        <v>0.435</v>
      </c>
      <c r="F298" s="4"/>
      <c r="G298" s="4"/>
      <c r="H298" s="7">
        <v>0.195939</v>
      </c>
      <c r="I298" s="7">
        <v>0.195939</v>
      </c>
      <c r="J298" s="4">
        <f t="shared" si="85"/>
        <v>0.195939</v>
      </c>
      <c r="K298" s="3">
        <v>100</v>
      </c>
      <c r="L298" s="3">
        <v>7.8</v>
      </c>
      <c r="M298" s="3">
        <f t="shared" si="87"/>
        <v>4.2162162162162158</v>
      </c>
      <c r="N298" s="3">
        <v>0.82431339100000001</v>
      </c>
      <c r="O298">
        <f t="shared" si="86"/>
        <v>0.7064804309715117</v>
      </c>
      <c r="P298">
        <f t="shared" si="78"/>
        <v>1.166788710433849</v>
      </c>
      <c r="Q298" s="7">
        <v>12.77364072</v>
      </c>
      <c r="R298">
        <f t="shared" si="79"/>
        <v>88.998489274106817</v>
      </c>
      <c r="S298">
        <f t="shared" si="80"/>
        <v>95.628452254984069</v>
      </c>
      <c r="T298">
        <f t="shared" si="81"/>
        <v>82.368526293229593</v>
      </c>
      <c r="U298">
        <f t="shared" si="82"/>
        <v>6.6299629808772522</v>
      </c>
      <c r="V298">
        <f t="shared" si="83"/>
        <v>6.6299629808772238</v>
      </c>
      <c r="W298">
        <f t="shared" si="84"/>
        <v>6.629962980877238</v>
      </c>
    </row>
    <row r="299" spans="1:23">
      <c r="A299" s="9"/>
      <c r="B299" s="13">
        <v>3900</v>
      </c>
      <c r="C299" s="13">
        <v>14.0654</v>
      </c>
      <c r="D299" s="13">
        <v>5.7438700000000003</v>
      </c>
      <c r="E299" s="2">
        <v>0.41499999999999998</v>
      </c>
      <c r="F299" s="4"/>
      <c r="G299" s="4"/>
      <c r="H299" s="7">
        <v>0.210981</v>
      </c>
      <c r="I299" s="7">
        <v>0.210981</v>
      </c>
      <c r="J299" s="4">
        <f t="shared" si="85"/>
        <v>0.210981</v>
      </c>
      <c r="K299" s="3">
        <v>100</v>
      </c>
      <c r="L299" s="3">
        <v>7.8</v>
      </c>
      <c r="M299" s="3">
        <f t="shared" si="87"/>
        <v>4.2162162162162158</v>
      </c>
      <c r="N299" s="3">
        <v>0.82431339100000001</v>
      </c>
      <c r="O299">
        <f t="shared" si="86"/>
        <v>0.7064804309715117</v>
      </c>
      <c r="P299">
        <f t="shared" si="78"/>
        <v>1.166788710433849</v>
      </c>
      <c r="Q299" s="7">
        <v>13.80756016</v>
      </c>
      <c r="R299">
        <f t="shared" si="79"/>
        <v>94.264660509426463</v>
      </c>
      <c r="S299">
        <f t="shared" si="80"/>
        <v>101.07537072943703</v>
      </c>
      <c r="T299">
        <f t="shared" si="81"/>
        <v>87.453950289415943</v>
      </c>
      <c r="U299">
        <f t="shared" si="82"/>
        <v>6.8107102200105629</v>
      </c>
      <c r="V299">
        <f t="shared" si="83"/>
        <v>6.8107102200105203</v>
      </c>
      <c r="W299">
        <f t="shared" si="84"/>
        <v>6.8107102200105416</v>
      </c>
    </row>
    <row r="300" spans="1:23">
      <c r="A300" s="9"/>
      <c r="B300" s="13">
        <v>3900</v>
      </c>
      <c r="C300" s="13">
        <v>15.145200000000001</v>
      </c>
      <c r="D300" s="13">
        <v>5.6448999999999998</v>
      </c>
      <c r="E300" s="2">
        <v>0.39500000000000002</v>
      </c>
      <c r="F300" s="4"/>
      <c r="G300" s="4"/>
      <c r="H300" s="7">
        <v>0.22717799999999999</v>
      </c>
      <c r="I300" s="7">
        <v>0.22717799999999999</v>
      </c>
      <c r="J300" s="4">
        <f t="shared" si="85"/>
        <v>0.22717799999999999</v>
      </c>
      <c r="K300" s="3">
        <v>100</v>
      </c>
      <c r="L300" s="3">
        <v>7.8</v>
      </c>
      <c r="M300" s="3">
        <f t="shared" si="87"/>
        <v>4.2162162162162158</v>
      </c>
      <c r="N300" s="3">
        <v>0.82431339100000001</v>
      </c>
      <c r="O300">
        <f t="shared" si="86"/>
        <v>0.7064804309715117</v>
      </c>
      <c r="P300">
        <f t="shared" si="78"/>
        <v>1.166788710433849</v>
      </c>
      <c r="Q300" s="7">
        <v>14.93287578</v>
      </c>
      <c r="R300">
        <f t="shared" si="79"/>
        <v>99.752429964810375</v>
      </c>
      <c r="S300">
        <f t="shared" si="80"/>
        <v>106.73257307382916</v>
      </c>
      <c r="T300">
        <f t="shared" si="81"/>
        <v>92.77228685579162</v>
      </c>
      <c r="U300">
        <f t="shared" si="82"/>
        <v>6.9801431090187833</v>
      </c>
      <c r="V300">
        <f t="shared" si="83"/>
        <v>6.9801431090187549</v>
      </c>
      <c r="W300">
        <f t="shared" si="84"/>
        <v>6.9801431090187691</v>
      </c>
    </row>
    <row r="301" spans="1:23">
      <c r="A301" s="9"/>
      <c r="B301" s="13">
        <v>3900</v>
      </c>
      <c r="C301" s="13">
        <v>16.3079</v>
      </c>
      <c r="D301" s="13">
        <v>5.5425500000000003</v>
      </c>
      <c r="E301" s="2">
        <v>0.376</v>
      </c>
      <c r="F301" s="4"/>
      <c r="G301" s="4"/>
      <c r="H301" s="7">
        <v>0.24461849999999999</v>
      </c>
      <c r="I301" s="7">
        <v>0.24461849999999999</v>
      </c>
      <c r="J301" s="4">
        <f t="shared" si="85"/>
        <v>0.24461849999999999</v>
      </c>
      <c r="K301" s="3">
        <v>100</v>
      </c>
      <c r="L301" s="3">
        <v>7.8</v>
      </c>
      <c r="M301" s="3">
        <f t="shared" si="87"/>
        <v>4.2162162162162158</v>
      </c>
      <c r="N301" s="3">
        <v>0.82431339100000001</v>
      </c>
      <c r="O301">
        <f t="shared" si="86"/>
        <v>0.7064804309715117</v>
      </c>
      <c r="P301">
        <f t="shared" si="78"/>
        <v>1.166788710433849</v>
      </c>
      <c r="Q301" s="7">
        <v>16.14680748</v>
      </c>
      <c r="R301">
        <f t="shared" si="79"/>
        <v>105.46294088200605</v>
      </c>
      <c r="S301">
        <f t="shared" si="80"/>
        <v>112.61742135969848</v>
      </c>
      <c r="T301">
        <f t="shared" si="81"/>
        <v>98.308460404313593</v>
      </c>
      <c r="U301">
        <f t="shared" si="82"/>
        <v>7.1544804776924309</v>
      </c>
      <c r="V301">
        <f t="shared" si="83"/>
        <v>7.1544804776924593</v>
      </c>
      <c r="W301">
        <f t="shared" si="84"/>
        <v>7.1544804776924451</v>
      </c>
    </row>
    <row r="302" spans="1:23">
      <c r="A302" s="9"/>
      <c r="B302" s="13">
        <v>3900</v>
      </c>
      <c r="C302" s="13">
        <v>17.559899999999999</v>
      </c>
      <c r="D302" s="13">
        <v>5.4370200000000004</v>
      </c>
      <c r="E302" s="2">
        <v>0.35899999999999999</v>
      </c>
      <c r="F302" s="4"/>
      <c r="G302" s="4"/>
      <c r="H302" s="7">
        <v>0.26339849999999998</v>
      </c>
      <c r="I302" s="7">
        <v>0.26339849999999998</v>
      </c>
      <c r="J302" s="4">
        <f t="shared" si="85"/>
        <v>0.26339849999999998</v>
      </c>
      <c r="K302" s="3">
        <v>100</v>
      </c>
      <c r="L302" s="3">
        <v>7.8</v>
      </c>
      <c r="M302" s="3">
        <f t="shared" si="87"/>
        <v>4.2162162162162158</v>
      </c>
      <c r="N302" s="3">
        <v>0.82431339100000001</v>
      </c>
      <c r="O302">
        <f t="shared" si="86"/>
        <v>0.7064804309715117</v>
      </c>
      <c r="P302">
        <f t="shared" si="78"/>
        <v>1.166788710433849</v>
      </c>
      <c r="Q302" s="7">
        <v>17.452463689999998</v>
      </c>
      <c r="R302">
        <f t="shared" si="79"/>
        <v>111.39743402996204</v>
      </c>
      <c r="S302">
        <f t="shared" si="80"/>
        <v>118.75287484437074</v>
      </c>
      <c r="T302">
        <f t="shared" si="81"/>
        <v>104.04199321555335</v>
      </c>
      <c r="U302">
        <f t="shared" si="82"/>
        <v>7.3554408144086949</v>
      </c>
      <c r="V302">
        <f t="shared" si="83"/>
        <v>7.3554408144086949</v>
      </c>
      <c r="W302">
        <f t="shared" si="84"/>
        <v>7.3554408144086949</v>
      </c>
    </row>
    <row r="303" spans="1:23">
      <c r="A303" s="9"/>
      <c r="B303" s="13">
        <v>3900</v>
      </c>
      <c r="C303" s="13">
        <v>18.908000000000001</v>
      </c>
      <c r="D303" s="13">
        <v>5.3285400000000003</v>
      </c>
      <c r="E303" s="2">
        <v>0.34200000000000003</v>
      </c>
      <c r="F303" s="4"/>
      <c r="G303" s="4"/>
      <c r="H303" s="7">
        <v>0.28361999999999998</v>
      </c>
      <c r="I303" s="7">
        <v>0.28361999999999998</v>
      </c>
      <c r="J303" s="4">
        <f t="shared" si="85"/>
        <v>0.28361999999999998</v>
      </c>
      <c r="K303" s="3">
        <v>100</v>
      </c>
      <c r="L303" s="3">
        <v>7.8</v>
      </c>
      <c r="M303" s="3">
        <f t="shared" si="87"/>
        <v>4.2162162162162158</v>
      </c>
      <c r="N303" s="3">
        <v>0.82431339100000001</v>
      </c>
      <c r="O303">
        <f t="shared" si="86"/>
        <v>0.7064804309715117</v>
      </c>
      <c r="P303">
        <f t="shared" si="78"/>
        <v>1.166788710433849</v>
      </c>
      <c r="Q303" s="7">
        <v>18.85384238</v>
      </c>
      <c r="R303">
        <f t="shared" si="79"/>
        <v>117.5563361978197</v>
      </c>
      <c r="S303">
        <f t="shared" si="80"/>
        <v>125.10141739823378</v>
      </c>
      <c r="T303">
        <f t="shared" si="81"/>
        <v>110.01125499740566</v>
      </c>
      <c r="U303">
        <f t="shared" si="82"/>
        <v>7.5450812004140744</v>
      </c>
      <c r="V303">
        <f t="shared" si="83"/>
        <v>7.545081200414046</v>
      </c>
      <c r="W303">
        <f t="shared" si="84"/>
        <v>7.5450812004140602</v>
      </c>
    </row>
    <row r="304" spans="1:23">
      <c r="A304" s="9"/>
      <c r="B304" s="13">
        <v>3900</v>
      </c>
      <c r="C304" s="13">
        <v>20.359500000000001</v>
      </c>
      <c r="D304" s="13">
        <v>5.2173600000000002</v>
      </c>
      <c r="E304" s="2">
        <v>0.39200000000000002</v>
      </c>
      <c r="F304" s="4"/>
      <c r="G304" s="4"/>
      <c r="H304" s="7">
        <v>0.30539250000000001</v>
      </c>
      <c r="I304" s="7">
        <v>0.30539250000000001</v>
      </c>
      <c r="J304" s="4">
        <f t="shared" si="85"/>
        <v>0.30539250000000001</v>
      </c>
      <c r="K304" s="3">
        <v>100</v>
      </c>
      <c r="L304" s="3">
        <v>7.8</v>
      </c>
      <c r="M304" s="3">
        <f t="shared" si="87"/>
        <v>4.2162162162162158</v>
      </c>
      <c r="N304" s="3">
        <v>0.82431339100000001</v>
      </c>
      <c r="O304">
        <f t="shared" si="86"/>
        <v>0.7064804309715117</v>
      </c>
      <c r="P304">
        <f t="shared" si="78"/>
        <v>1.166788710433849</v>
      </c>
      <c r="Q304" s="7">
        <v>20.354447889999999</v>
      </c>
      <c r="R304">
        <f t="shared" si="79"/>
        <v>123.9396115756667</v>
      </c>
      <c r="S304">
        <f t="shared" si="80"/>
        <v>133.25166359769725</v>
      </c>
      <c r="T304">
        <f t="shared" si="81"/>
        <v>114.62755955363613</v>
      </c>
      <c r="U304">
        <f t="shared" si="82"/>
        <v>9.3120520220305423</v>
      </c>
      <c r="V304">
        <f t="shared" si="83"/>
        <v>9.3120520220305707</v>
      </c>
      <c r="W304">
        <f t="shared" si="84"/>
        <v>9.3120520220305565</v>
      </c>
    </row>
    <row r="305" spans="1:47">
      <c r="A305" s="9"/>
      <c r="B305" s="13">
        <v>3900</v>
      </c>
      <c r="C305" s="13">
        <v>21.922499999999999</v>
      </c>
      <c r="D305" s="13">
        <v>5.1037699999999999</v>
      </c>
      <c r="E305" s="2">
        <v>0.38400000000000001</v>
      </c>
      <c r="F305" s="4"/>
      <c r="G305" s="4"/>
      <c r="H305" s="7">
        <v>0.3288375</v>
      </c>
      <c r="I305" s="7">
        <v>0.3288375</v>
      </c>
      <c r="J305" s="4">
        <f t="shared" si="85"/>
        <v>0.3288375</v>
      </c>
      <c r="K305" s="3">
        <v>100</v>
      </c>
      <c r="L305" s="3">
        <v>7.8</v>
      </c>
      <c r="M305" s="3">
        <f t="shared" si="87"/>
        <v>4.2162162162162158</v>
      </c>
      <c r="N305" s="3">
        <v>0.82431339100000001</v>
      </c>
      <c r="O305">
        <f t="shared" si="86"/>
        <v>0.7064804309715117</v>
      </c>
      <c r="P305">
        <f t="shared" si="78"/>
        <v>1.166788710433849</v>
      </c>
      <c r="Q305" s="7">
        <v>21.957136349999999</v>
      </c>
      <c r="R305">
        <f t="shared" si="79"/>
        <v>130.54895262203078</v>
      </c>
      <c r="S305">
        <f t="shared" si="80"/>
        <v>140.37126001575345</v>
      </c>
      <c r="T305">
        <f t="shared" si="81"/>
        <v>120.72664522830813</v>
      </c>
      <c r="U305">
        <f t="shared" si="82"/>
        <v>9.8223073937226673</v>
      </c>
      <c r="V305">
        <f t="shared" si="83"/>
        <v>9.822307393722653</v>
      </c>
      <c r="W305">
        <f t="shared" si="84"/>
        <v>9.8223073937226602</v>
      </c>
    </row>
    <row r="306" spans="1:47">
      <c r="A306" s="9"/>
      <c r="B306" s="13">
        <v>3900</v>
      </c>
      <c r="C306" s="13">
        <v>23.605499999999999</v>
      </c>
      <c r="D306" s="13">
        <v>4.9880300000000002</v>
      </c>
      <c r="E306" s="2">
        <v>0.375</v>
      </c>
      <c r="F306" s="4"/>
      <c r="G306" s="4"/>
      <c r="H306" s="7">
        <v>0.35408250000000002</v>
      </c>
      <c r="I306" s="7">
        <v>0.35408250000000002</v>
      </c>
      <c r="J306" s="4">
        <f t="shared" si="85"/>
        <v>0.35408249999999997</v>
      </c>
      <c r="K306" s="3">
        <v>100</v>
      </c>
      <c r="L306" s="3">
        <v>7.8</v>
      </c>
      <c r="M306" s="3">
        <f t="shared" si="87"/>
        <v>4.2162162162162158</v>
      </c>
      <c r="N306" s="3">
        <v>0.82431339100000001</v>
      </c>
      <c r="O306">
        <f t="shared" si="86"/>
        <v>0.7064804309715117</v>
      </c>
      <c r="P306">
        <f t="shared" si="78"/>
        <v>1.166788710433849</v>
      </c>
      <c r="Q306" s="7">
        <v>23.66420359</v>
      </c>
      <c r="R306">
        <f t="shared" si="79"/>
        <v>137.38346922880848</v>
      </c>
      <c r="S306">
        <f t="shared" si="80"/>
        <v>147.71195581786333</v>
      </c>
      <c r="T306">
        <f t="shared" si="81"/>
        <v>127.05498263975365</v>
      </c>
      <c r="U306">
        <f t="shared" si="82"/>
        <v>10.328486589054847</v>
      </c>
      <c r="V306">
        <f t="shared" si="83"/>
        <v>10.328486589054833</v>
      </c>
      <c r="W306">
        <f t="shared" si="84"/>
        <v>10.32848658905484</v>
      </c>
    </row>
    <row r="307" spans="1:47">
      <c r="A307" s="9"/>
      <c r="B307" s="13">
        <v>3900</v>
      </c>
      <c r="C307" s="13">
        <v>25.4178</v>
      </c>
      <c r="D307" s="13">
        <v>4.8703799999999999</v>
      </c>
      <c r="E307" s="2">
        <v>0.36599999999999999</v>
      </c>
      <c r="F307" s="4"/>
      <c r="G307" s="4"/>
      <c r="H307" s="7">
        <v>0.38126700000000002</v>
      </c>
      <c r="I307" s="7">
        <v>0.38126700000000002</v>
      </c>
      <c r="J307" s="4">
        <f t="shared" si="85"/>
        <v>0.38126699999999997</v>
      </c>
      <c r="K307" s="3">
        <v>100</v>
      </c>
      <c r="L307" s="3">
        <v>7.8</v>
      </c>
      <c r="M307" s="3">
        <f t="shared" si="87"/>
        <v>4.2162162162162158</v>
      </c>
      <c r="N307" s="3">
        <v>0.82431339100000001</v>
      </c>
      <c r="O307">
        <f t="shared" si="86"/>
        <v>0.7064804309715117</v>
      </c>
      <c r="P307">
        <f t="shared" si="78"/>
        <v>1.166788710433849</v>
      </c>
      <c r="Q307" s="7">
        <v>25.476642259999998</v>
      </c>
      <c r="R307">
        <f t="shared" si="79"/>
        <v>144.44184388619087</v>
      </c>
      <c r="S307">
        <f t="shared" si="80"/>
        <v>155.29637984895882</v>
      </c>
      <c r="T307">
        <f t="shared" si="81"/>
        <v>133.58730792342291</v>
      </c>
      <c r="U307">
        <f t="shared" si="82"/>
        <v>10.854535962767955</v>
      </c>
      <c r="V307">
        <f t="shared" si="83"/>
        <v>10.854535962767955</v>
      </c>
      <c r="W307">
        <f t="shared" si="84"/>
        <v>10.854535962767955</v>
      </c>
    </row>
    <row r="308" spans="1:47">
      <c r="A308" s="9"/>
      <c r="B308" s="13">
        <v>3900</v>
      </c>
      <c r="C308" s="13">
        <v>27.3691</v>
      </c>
      <c r="D308" s="13">
        <v>4.7509699999999997</v>
      </c>
      <c r="E308" s="2">
        <v>0.35699999999999998</v>
      </c>
      <c r="F308" s="4"/>
      <c r="G308" s="4"/>
      <c r="H308" s="7">
        <v>0.41053650000000003</v>
      </c>
      <c r="I308" s="7">
        <v>0.41053650000000003</v>
      </c>
      <c r="J308" s="4">
        <f t="shared" si="85"/>
        <v>0.41053649999999997</v>
      </c>
      <c r="K308" s="3">
        <v>100</v>
      </c>
      <c r="L308" s="3">
        <v>7.8</v>
      </c>
      <c r="M308" s="3">
        <f t="shared" si="87"/>
        <v>4.2162162162162158</v>
      </c>
      <c r="N308" s="3">
        <v>0.82431339100000001</v>
      </c>
      <c r="O308">
        <f t="shared" si="86"/>
        <v>0.7064804309715117</v>
      </c>
      <c r="P308">
        <f t="shared" si="78"/>
        <v>1.166788710433849</v>
      </c>
      <c r="Q308" s="7">
        <v>27.394291219999999</v>
      </c>
      <c r="R308">
        <f t="shared" si="79"/>
        <v>151.71727118817938</v>
      </c>
      <c r="S308">
        <f t="shared" si="80"/>
        <v>163.11769379959983</v>
      </c>
      <c r="T308">
        <f t="shared" si="81"/>
        <v>140.31684857675899</v>
      </c>
      <c r="U308">
        <f t="shared" si="82"/>
        <v>11.400422611420453</v>
      </c>
      <c r="V308">
        <f t="shared" si="83"/>
        <v>11.400422611420396</v>
      </c>
      <c r="W308">
        <f t="shared" si="84"/>
        <v>11.400422611420424</v>
      </c>
      <c r="AQ308" s="59"/>
      <c r="AU308" s="59"/>
    </row>
    <row r="309" spans="1:47">
      <c r="A309" s="9"/>
      <c r="B309" s="13">
        <v>3900</v>
      </c>
      <c r="C309" s="13">
        <v>29.470199999999998</v>
      </c>
      <c r="D309" s="13">
        <v>4.6298000000000004</v>
      </c>
      <c r="E309" s="2">
        <v>0.34799999999999998</v>
      </c>
      <c r="F309" s="4"/>
      <c r="G309" s="4"/>
      <c r="H309" s="7">
        <v>0.44205299999999997</v>
      </c>
      <c r="I309" s="7">
        <v>0.44205299999999997</v>
      </c>
      <c r="J309" s="4">
        <f t="shared" si="85"/>
        <v>0.44205299999999997</v>
      </c>
      <c r="K309" s="3">
        <v>100</v>
      </c>
      <c r="L309" s="3">
        <v>7.8</v>
      </c>
      <c r="M309" s="3">
        <f t="shared" si="87"/>
        <v>4.2162162162162158</v>
      </c>
      <c r="N309" s="3">
        <v>0.82431339100000001</v>
      </c>
      <c r="O309">
        <f t="shared" si="86"/>
        <v>0.7064804309715117</v>
      </c>
      <c r="P309">
        <f t="shared" si="78"/>
        <v>1.166788710433849</v>
      </c>
      <c r="Q309" s="7">
        <v>29.416404750000002</v>
      </c>
      <c r="R309">
        <f t="shared" si="79"/>
        <v>159.19797240974304</v>
      </c>
      <c r="S309">
        <f t="shared" si="80"/>
        <v>171.16412524541423</v>
      </c>
      <c r="T309">
        <f t="shared" si="81"/>
        <v>147.23181957407181</v>
      </c>
      <c r="U309">
        <f t="shared" si="82"/>
        <v>11.966152835671181</v>
      </c>
      <c r="V309">
        <f t="shared" si="83"/>
        <v>11.966152835671238</v>
      </c>
      <c r="W309">
        <f t="shared" si="84"/>
        <v>11.96615283567121</v>
      </c>
    </row>
    <row r="310" spans="1:47">
      <c r="A310" s="9"/>
      <c r="B310" s="13">
        <v>3900</v>
      </c>
      <c r="C310" s="13">
        <v>31.732700000000001</v>
      </c>
      <c r="D310" s="13">
        <v>4.5067399999999997</v>
      </c>
      <c r="E310" s="2">
        <v>0.33900000000000002</v>
      </c>
      <c r="F310" s="4"/>
      <c r="G310" s="4"/>
      <c r="H310" s="7">
        <v>0.47599049999999998</v>
      </c>
      <c r="I310" s="7">
        <v>0.47599049999999998</v>
      </c>
      <c r="J310" s="4">
        <f t="shared" si="85"/>
        <v>0.47599049999999998</v>
      </c>
      <c r="K310" s="3">
        <v>100</v>
      </c>
      <c r="L310" s="3">
        <v>7.8</v>
      </c>
      <c r="M310" s="3">
        <f t="shared" si="87"/>
        <v>4.2162162162162158</v>
      </c>
      <c r="N310" s="3">
        <v>0.82431339100000001</v>
      </c>
      <c r="O310">
        <f t="shared" si="86"/>
        <v>0.7064804309715117</v>
      </c>
      <c r="P310">
        <f t="shared" si="78"/>
        <v>1.166788710433849</v>
      </c>
      <c r="Q310" s="7">
        <v>31.540824130000001</v>
      </c>
      <c r="R310">
        <f t="shared" si="79"/>
        <v>166.86365340232098</v>
      </c>
      <c r="S310">
        <f t="shared" si="80"/>
        <v>179.41524912414803</v>
      </c>
      <c r="T310">
        <f t="shared" si="81"/>
        <v>154.31205768049392</v>
      </c>
      <c r="U310">
        <f t="shared" si="82"/>
        <v>12.551595721827056</v>
      </c>
      <c r="V310">
        <f t="shared" si="83"/>
        <v>12.551595721827056</v>
      </c>
      <c r="W310">
        <f t="shared" si="84"/>
        <v>12.551595721827056</v>
      </c>
    </row>
    <row r="311" spans="1:47">
      <c r="A311" s="9"/>
      <c r="B311" s="13">
        <v>3900</v>
      </c>
      <c r="C311" s="13">
        <v>34.168799999999997</v>
      </c>
      <c r="D311" s="13">
        <v>4.3821199999999996</v>
      </c>
      <c r="E311" s="2">
        <v>0.32900000000000001</v>
      </c>
      <c r="F311" s="4"/>
      <c r="G311" s="4"/>
      <c r="H311" s="7">
        <v>0.51253199999999999</v>
      </c>
      <c r="I311" s="7">
        <v>0.51253199999999999</v>
      </c>
      <c r="J311" s="4">
        <f t="shared" si="85"/>
        <v>0.51253199999999999</v>
      </c>
      <c r="K311" s="3">
        <v>100</v>
      </c>
      <c r="L311" s="3">
        <v>7.8</v>
      </c>
      <c r="M311" s="3">
        <f t="shared" si="87"/>
        <v>4.2162162162162158</v>
      </c>
      <c r="N311" s="3">
        <v>0.82431339100000001</v>
      </c>
      <c r="O311">
        <f t="shared" si="86"/>
        <v>0.7064804309715117</v>
      </c>
      <c r="P311">
        <f t="shared" si="78"/>
        <v>1.166788710433849</v>
      </c>
      <c r="Q311" s="7">
        <v>33.764781069999998</v>
      </c>
      <c r="R311">
        <f t="shared" si="79"/>
        <v>174.70535266272461</v>
      </c>
      <c r="S311">
        <f t="shared" si="80"/>
        <v>187.82184902202931</v>
      </c>
      <c r="T311">
        <f t="shared" si="81"/>
        <v>161.5888563034199</v>
      </c>
      <c r="U311">
        <f t="shared" si="82"/>
        <v>13.116496359304705</v>
      </c>
      <c r="V311">
        <f t="shared" si="83"/>
        <v>13.116496359304705</v>
      </c>
      <c r="W311">
        <f t="shared" si="84"/>
        <v>13.116496359304705</v>
      </c>
    </row>
    <row r="312" spans="1:47">
      <c r="A312" s="9"/>
      <c r="B312" s="13">
        <v>3900</v>
      </c>
      <c r="C312" s="13">
        <v>36.791899999999998</v>
      </c>
      <c r="D312" s="13">
        <v>4.25664</v>
      </c>
      <c r="E312" s="2">
        <v>0.32</v>
      </c>
      <c r="F312" s="4"/>
      <c r="G312" s="4"/>
      <c r="H312" s="7">
        <v>0.55187850000000005</v>
      </c>
      <c r="I312" s="7">
        <v>0.55187850000000005</v>
      </c>
      <c r="J312" s="4">
        <f t="shared" si="85"/>
        <v>0.55187849999999994</v>
      </c>
      <c r="K312" s="3">
        <v>100</v>
      </c>
      <c r="L312" s="3">
        <v>7.8</v>
      </c>
      <c r="M312" s="3">
        <f t="shared" si="87"/>
        <v>4.2162162162162158</v>
      </c>
      <c r="N312" s="3">
        <v>0.82431339100000001</v>
      </c>
      <c r="O312">
        <f t="shared" si="86"/>
        <v>0.7064804309715117</v>
      </c>
      <c r="P312">
        <f t="shared" si="78"/>
        <v>1.166788710433849</v>
      </c>
      <c r="Q312" s="7">
        <v>36.08594051</v>
      </c>
      <c r="R312">
        <f t="shared" si="79"/>
        <v>182.73063201090523</v>
      </c>
      <c r="S312">
        <f t="shared" si="80"/>
        <v>196.4677115486368</v>
      </c>
      <c r="T312">
        <f t="shared" si="81"/>
        <v>168.99355247317365</v>
      </c>
      <c r="U312">
        <f t="shared" si="82"/>
        <v>13.737079537731574</v>
      </c>
      <c r="V312">
        <f t="shared" si="83"/>
        <v>13.737079537731574</v>
      </c>
      <c r="W312">
        <f t="shared" si="84"/>
        <v>13.737079537731574</v>
      </c>
    </row>
    <row r="313" spans="1:47">
      <c r="A313" s="9"/>
      <c r="B313" s="13">
        <v>3900</v>
      </c>
      <c r="C313" s="13">
        <v>39.616500000000002</v>
      </c>
      <c r="D313" s="13">
        <v>4.1310599999999997</v>
      </c>
      <c r="E313" s="2">
        <v>0.311</v>
      </c>
      <c r="F313" s="4"/>
      <c r="G313" s="4"/>
      <c r="H313" s="7">
        <v>0.59424750000000004</v>
      </c>
      <c r="I313" s="7">
        <v>0.59424750000000004</v>
      </c>
      <c r="J313" s="4">
        <f t="shared" si="85"/>
        <v>0.59424750000000004</v>
      </c>
      <c r="K313" s="3">
        <v>100</v>
      </c>
      <c r="L313" s="3">
        <v>7.8</v>
      </c>
      <c r="M313" s="3">
        <f t="shared" si="87"/>
        <v>4.2162162162162158</v>
      </c>
      <c r="N313" s="3">
        <v>0.82431339100000001</v>
      </c>
      <c r="O313">
        <f t="shared" si="86"/>
        <v>0.7064804309715117</v>
      </c>
      <c r="P313">
        <f t="shared" si="78"/>
        <v>1.166788710433849</v>
      </c>
      <c r="Q313" s="7">
        <v>38.50311859</v>
      </c>
      <c r="R313">
        <f t="shared" si="79"/>
        <v>190.95446836075138</v>
      </c>
      <c r="S313">
        <f t="shared" si="80"/>
        <v>205.33015877923808</v>
      </c>
      <c r="T313">
        <f t="shared" si="81"/>
        <v>176.57877794226468</v>
      </c>
      <c r="U313">
        <f t="shared" si="82"/>
        <v>14.375690418486698</v>
      </c>
      <c r="V313">
        <f t="shared" si="83"/>
        <v>14.375690418486698</v>
      </c>
      <c r="W313">
        <f t="shared" si="84"/>
        <v>14.375690418486698</v>
      </c>
    </row>
    <row r="314" spans="1:47">
      <c r="A314" s="9"/>
      <c r="B314" s="13">
        <v>3900</v>
      </c>
      <c r="C314" s="13">
        <v>42.657800000000002</v>
      </c>
      <c r="D314" s="13">
        <v>4.0061999999999998</v>
      </c>
      <c r="E314" s="2">
        <v>0.30099999999999999</v>
      </c>
      <c r="F314" s="4"/>
      <c r="G314" s="4"/>
      <c r="H314" s="7">
        <v>0.63986699999999996</v>
      </c>
      <c r="I314" s="7">
        <v>0.63986699999999996</v>
      </c>
      <c r="J314" s="4">
        <f t="shared" si="85"/>
        <v>0.63986699999999996</v>
      </c>
      <c r="K314" s="3">
        <v>100</v>
      </c>
      <c r="L314" s="3">
        <v>7.8</v>
      </c>
      <c r="M314" s="3">
        <f t="shared" si="87"/>
        <v>4.2162162162162158</v>
      </c>
      <c r="N314" s="3">
        <v>0.82431339100000001</v>
      </c>
      <c r="O314">
        <f t="shared" si="86"/>
        <v>0.7064804309715117</v>
      </c>
      <c r="P314">
        <f t="shared" si="78"/>
        <v>1.166788710433849</v>
      </c>
      <c r="Q314" s="7">
        <v>41.0183909</v>
      </c>
      <c r="R314">
        <f t="shared" si="79"/>
        <v>199.39914817238224</v>
      </c>
      <c r="S314">
        <f t="shared" si="80"/>
        <v>214.38071264741768</v>
      </c>
      <c r="T314">
        <f t="shared" si="81"/>
        <v>184.41758369734677</v>
      </c>
      <c r="U314">
        <f t="shared" si="82"/>
        <v>14.981564475035441</v>
      </c>
      <c r="V314">
        <f t="shared" si="83"/>
        <v>14.981564475035469</v>
      </c>
      <c r="W314">
        <f t="shared" si="84"/>
        <v>14.981564475035455</v>
      </c>
    </row>
    <row r="315" spans="1:47">
      <c r="A315" s="9"/>
      <c r="B315" s="13">
        <v>3900</v>
      </c>
      <c r="C315" s="13">
        <v>45.932699999999997</v>
      </c>
      <c r="D315" s="13">
        <v>3.8829199999999999</v>
      </c>
      <c r="E315" s="2">
        <v>0.29199999999999998</v>
      </c>
      <c r="F315" s="4"/>
      <c r="G315" s="4"/>
      <c r="H315" s="7">
        <v>0.68899049999999995</v>
      </c>
      <c r="I315" s="7">
        <v>0.68899049999999995</v>
      </c>
      <c r="J315" s="4">
        <f t="shared" si="85"/>
        <v>0.68899049999999995</v>
      </c>
      <c r="K315" s="3">
        <v>100</v>
      </c>
      <c r="L315" s="3">
        <v>7.8</v>
      </c>
      <c r="M315" s="3">
        <f t="shared" si="87"/>
        <v>4.2162162162162158</v>
      </c>
      <c r="N315" s="3">
        <v>0.82431339100000001</v>
      </c>
      <c r="O315">
        <f t="shared" si="86"/>
        <v>0.7064804309715117</v>
      </c>
      <c r="P315">
        <f t="shared" si="78"/>
        <v>1.166788710433849</v>
      </c>
      <c r="Q315" s="7">
        <v>43.640855909999999</v>
      </c>
      <c r="R315">
        <f t="shared" si="79"/>
        <v>208.10026626994528</v>
      </c>
      <c r="S315">
        <f t="shared" si="80"/>
        <v>223.74964296347079</v>
      </c>
      <c r="T315">
        <f t="shared" si="81"/>
        <v>192.4508895764198</v>
      </c>
      <c r="U315">
        <f t="shared" si="82"/>
        <v>15.649376693525511</v>
      </c>
      <c r="V315">
        <f t="shared" si="83"/>
        <v>15.649376693525483</v>
      </c>
      <c r="W315">
        <f t="shared" si="84"/>
        <v>15.649376693525497</v>
      </c>
    </row>
    <row r="316" spans="1:47">
      <c r="A316" s="9"/>
      <c r="B316" s="13">
        <v>3900</v>
      </c>
      <c r="C316" s="13">
        <v>49.459000000000003</v>
      </c>
      <c r="D316" s="13">
        <v>3.7620399999999998</v>
      </c>
      <c r="E316" s="2">
        <v>0.28299999999999997</v>
      </c>
      <c r="F316" s="4"/>
      <c r="G316" s="4"/>
      <c r="H316" s="7">
        <v>0.74188500000000002</v>
      </c>
      <c r="I316" s="7">
        <v>0.74188500000000002</v>
      </c>
      <c r="J316" s="4">
        <f t="shared" si="85"/>
        <v>0.74188500000000002</v>
      </c>
      <c r="K316" s="3">
        <v>100</v>
      </c>
      <c r="L316" s="3">
        <v>7.8</v>
      </c>
      <c r="M316" s="3">
        <f t="shared" si="87"/>
        <v>4.2162162162162158</v>
      </c>
      <c r="N316" s="3">
        <v>0.82431339100000001</v>
      </c>
      <c r="O316">
        <f t="shared" si="86"/>
        <v>0.7064804309715117</v>
      </c>
      <c r="P316">
        <f t="shared" si="78"/>
        <v>1.166788710433849</v>
      </c>
      <c r="Q316" s="7">
        <v>46.391817519999996</v>
      </c>
      <c r="R316">
        <f t="shared" si="79"/>
        <v>217.10056737211937</v>
      </c>
      <c r="S316">
        <f t="shared" si="80"/>
        <v>233.43198877282478</v>
      </c>
      <c r="T316">
        <f t="shared" si="81"/>
        <v>200.76914597141396</v>
      </c>
      <c r="U316">
        <f t="shared" si="82"/>
        <v>16.331421400705409</v>
      </c>
      <c r="V316">
        <f t="shared" si="83"/>
        <v>16.331421400705409</v>
      </c>
      <c r="W316">
        <f t="shared" si="84"/>
        <v>16.331421400705409</v>
      </c>
    </row>
    <row r="317" spans="1:47">
      <c r="A317" s="9"/>
      <c r="B317" s="13">
        <v>3900</v>
      </c>
      <c r="C317" s="13">
        <v>53.255899999999997</v>
      </c>
      <c r="D317" s="13">
        <v>3.6442899999999998</v>
      </c>
      <c r="E317" s="2">
        <v>0.27400000000000002</v>
      </c>
      <c r="F317" s="4"/>
      <c r="G317" s="4"/>
      <c r="H317" s="7">
        <v>0.79883850000000001</v>
      </c>
      <c r="I317" s="7">
        <v>0.79883850000000001</v>
      </c>
      <c r="J317" s="4">
        <f t="shared" si="85"/>
        <v>0.7988384999999999</v>
      </c>
      <c r="K317" s="3">
        <v>100</v>
      </c>
      <c r="L317" s="3">
        <v>7.8</v>
      </c>
      <c r="M317" s="3">
        <f t="shared" si="87"/>
        <v>4.2162162162162158</v>
      </c>
      <c r="N317" s="3">
        <v>0.82431339100000001</v>
      </c>
      <c r="O317">
        <f t="shared" si="86"/>
        <v>0.7064804309715117</v>
      </c>
      <c r="P317">
        <f t="shared" si="78"/>
        <v>1.166788710433849</v>
      </c>
      <c r="Q317" s="7">
        <v>49.305518659999997</v>
      </c>
      <c r="R317">
        <f t="shared" si="79"/>
        <v>226.45028736031057</v>
      </c>
      <c r="S317">
        <f t="shared" si="80"/>
        <v>243.4762042705249</v>
      </c>
      <c r="T317">
        <f t="shared" si="81"/>
        <v>209.42437045009618</v>
      </c>
      <c r="U317">
        <f t="shared" si="82"/>
        <v>17.025916910214335</v>
      </c>
      <c r="V317">
        <f t="shared" si="83"/>
        <v>17.025916910214391</v>
      </c>
      <c r="W317">
        <f t="shared" si="84"/>
        <v>17.025916910214363</v>
      </c>
    </row>
    <row r="318" spans="1:47">
      <c r="A318" s="9"/>
      <c r="B318" s="13">
        <v>3900</v>
      </c>
      <c r="C318" s="13">
        <v>57.3444</v>
      </c>
      <c r="D318" s="13">
        <v>3.5302099999999998</v>
      </c>
      <c r="E318" s="2">
        <v>0.26500000000000001</v>
      </c>
      <c r="F318" s="4"/>
      <c r="G318" s="4"/>
      <c r="H318" s="7">
        <v>0.86016599999999999</v>
      </c>
      <c r="I318" s="7">
        <v>0.86016599999999999</v>
      </c>
      <c r="J318" s="4">
        <f t="shared" si="85"/>
        <v>0.86016599999999999</v>
      </c>
      <c r="K318" s="3">
        <v>100</v>
      </c>
      <c r="L318" s="3">
        <v>7.8</v>
      </c>
      <c r="M318" s="3">
        <f t="shared" si="87"/>
        <v>4.2162162162162158</v>
      </c>
      <c r="N318" s="3">
        <v>0.82431339100000001</v>
      </c>
      <c r="O318">
        <f t="shared" si="86"/>
        <v>0.7064804309715117</v>
      </c>
      <c r="P318">
        <f t="shared" ref="P318:P331" si="88">N318/O318</f>
        <v>1.166788710433849</v>
      </c>
      <c r="Q318" s="7">
        <v>52.402128169999997</v>
      </c>
      <c r="R318">
        <f t="shared" si="79"/>
        <v>236.2021096465985</v>
      </c>
      <c r="S318">
        <f t="shared" si="80"/>
        <v>253.93294125614827</v>
      </c>
      <c r="T318">
        <f t="shared" si="81"/>
        <v>218.47127803704876</v>
      </c>
      <c r="U318">
        <f t="shared" si="82"/>
        <v>17.730831609549767</v>
      </c>
      <c r="V318">
        <f t="shared" si="83"/>
        <v>17.730831609549739</v>
      </c>
      <c r="W318">
        <f t="shared" si="84"/>
        <v>17.730831609549753</v>
      </c>
    </row>
    <row r="319" spans="1:47">
      <c r="A319" s="9"/>
      <c r="B319" s="13">
        <v>3900</v>
      </c>
      <c r="C319" s="13">
        <v>61.7468</v>
      </c>
      <c r="D319" s="13">
        <v>3.4200200000000001</v>
      </c>
      <c r="E319" s="2">
        <v>0.25700000000000001</v>
      </c>
      <c r="F319" s="4"/>
      <c r="G319" s="4"/>
      <c r="H319" s="7">
        <v>0.92620199999999997</v>
      </c>
      <c r="I319" s="7">
        <v>0.92620199999999997</v>
      </c>
      <c r="J319" s="4">
        <f t="shared" si="85"/>
        <v>0.92620199999999997</v>
      </c>
      <c r="K319" s="3">
        <v>100</v>
      </c>
      <c r="L319" s="3">
        <v>7.8</v>
      </c>
      <c r="M319" s="3">
        <f t="shared" si="87"/>
        <v>4.2162162162162158</v>
      </c>
      <c r="N319" s="3">
        <v>0.82431339100000001</v>
      </c>
      <c r="O319">
        <f t="shared" si="86"/>
        <v>0.7064804309715117</v>
      </c>
      <c r="P319">
        <f t="shared" si="88"/>
        <v>1.166788710433849</v>
      </c>
      <c r="Q319" s="7">
        <v>55.690414130000001</v>
      </c>
      <c r="R319">
        <f t="shared" si="79"/>
        <v>246.39694538670832</v>
      </c>
      <c r="S319">
        <f t="shared" si="80"/>
        <v>264.91263095708047</v>
      </c>
      <c r="T319">
        <f t="shared" si="81"/>
        <v>227.88125981633621</v>
      </c>
      <c r="U319">
        <f t="shared" si="82"/>
        <v>18.515685570372142</v>
      </c>
      <c r="V319">
        <f t="shared" si="83"/>
        <v>18.515685570372113</v>
      </c>
      <c r="W319">
        <f t="shared" si="84"/>
        <v>18.515685570372128</v>
      </c>
    </row>
    <row r="320" spans="1:47">
      <c r="A320" s="9"/>
      <c r="B320" s="13">
        <v>3900</v>
      </c>
      <c r="C320" s="13">
        <v>66.487099999999998</v>
      </c>
      <c r="D320" s="13">
        <v>3.3134399999999999</v>
      </c>
      <c r="E320" s="2">
        <v>0.249</v>
      </c>
      <c r="F320" s="4"/>
      <c r="G320" s="4"/>
      <c r="H320" s="7">
        <v>0.99730649999999998</v>
      </c>
      <c r="I320" s="7">
        <v>0.99730649999999998</v>
      </c>
      <c r="J320" s="4">
        <f t="shared" si="85"/>
        <v>0.99730649999999998</v>
      </c>
      <c r="K320" s="3">
        <v>100</v>
      </c>
      <c r="L320" s="3">
        <v>7.8</v>
      </c>
      <c r="M320" s="3">
        <f t="shared" si="87"/>
        <v>4.2162162162162158</v>
      </c>
      <c r="N320" s="3">
        <v>0.82431339100000001</v>
      </c>
      <c r="O320">
        <f t="shared" si="86"/>
        <v>0.7064804309715117</v>
      </c>
      <c r="P320">
        <f t="shared" si="88"/>
        <v>1.166788710433849</v>
      </c>
      <c r="Q320" s="7">
        <v>59.179950050000002</v>
      </c>
      <c r="R320">
        <f t="shared" si="79"/>
        <v>257.04473909398291</v>
      </c>
      <c r="S320">
        <f t="shared" si="80"/>
        <v>276.36126211368497</v>
      </c>
      <c r="T320">
        <f t="shared" si="81"/>
        <v>237.72821607428077</v>
      </c>
      <c r="U320">
        <f t="shared" si="82"/>
        <v>19.316523019702061</v>
      </c>
      <c r="V320">
        <f t="shared" si="83"/>
        <v>19.316523019702146</v>
      </c>
      <c r="W320">
        <f t="shared" si="84"/>
        <v>19.316523019702103</v>
      </c>
    </row>
    <row r="321" spans="1:293">
      <c r="A321" s="9"/>
      <c r="B321" s="13">
        <v>3900</v>
      </c>
      <c r="C321" s="13">
        <v>71.591300000000004</v>
      </c>
      <c r="D321" s="13">
        <v>3.2093799999999999</v>
      </c>
      <c r="E321" s="2">
        <v>0.24099999999999999</v>
      </c>
      <c r="F321" s="4"/>
      <c r="G321" s="4"/>
      <c r="H321" s="7">
        <v>1.0738695</v>
      </c>
      <c r="I321" s="7">
        <v>1.0738695</v>
      </c>
      <c r="J321" s="4">
        <f t="shared" si="85"/>
        <v>1.0738695</v>
      </c>
      <c r="K321" s="3">
        <v>100</v>
      </c>
      <c r="L321" s="3">
        <v>7.8</v>
      </c>
      <c r="M321" s="3">
        <f t="shared" si="87"/>
        <v>4.2162162162162158</v>
      </c>
      <c r="N321" s="3">
        <v>0.82431339100000001</v>
      </c>
      <c r="O321">
        <f t="shared" si="86"/>
        <v>0.7064804309715117</v>
      </c>
      <c r="P321">
        <f t="shared" si="88"/>
        <v>1.166788710433849</v>
      </c>
      <c r="Q321" s="7">
        <v>62.880151320000003</v>
      </c>
      <c r="R321">
        <f t="shared" si="79"/>
        <v>268.08567535218259</v>
      </c>
      <c r="S321">
        <f t="shared" si="80"/>
        <v>288.21686821805577</v>
      </c>
      <c r="T321">
        <f t="shared" si="81"/>
        <v>247.95448248630939</v>
      </c>
      <c r="U321">
        <f t="shared" si="82"/>
        <v>20.131192865873174</v>
      </c>
      <c r="V321">
        <f t="shared" si="83"/>
        <v>20.131192865873203</v>
      </c>
      <c r="W321">
        <f t="shared" si="84"/>
        <v>20.131192865873189</v>
      </c>
    </row>
    <row r="322" spans="1:293">
      <c r="A322" s="9"/>
      <c r="B322" s="13">
        <v>3900</v>
      </c>
      <c r="C322" s="13">
        <v>77.087400000000002</v>
      </c>
      <c r="D322" s="13">
        <v>3.1057299999999999</v>
      </c>
      <c r="E322" s="2">
        <v>0.23300000000000001</v>
      </c>
      <c r="F322" s="4"/>
      <c r="G322" s="4"/>
      <c r="H322" s="7">
        <v>1.1563110000000001</v>
      </c>
      <c r="I322" s="7">
        <v>1.1563110000000001</v>
      </c>
      <c r="J322" s="4">
        <f t="shared" si="85"/>
        <v>1.1563110000000001</v>
      </c>
      <c r="K322" s="3">
        <v>100</v>
      </c>
      <c r="L322" s="3">
        <v>7.8</v>
      </c>
      <c r="M322" s="3">
        <f t="shared" si="87"/>
        <v>4.2162162162162158</v>
      </c>
      <c r="N322" s="3">
        <v>0.82431339100000001</v>
      </c>
      <c r="O322">
        <f t="shared" si="86"/>
        <v>0.7064804309715117</v>
      </c>
      <c r="P322">
        <f t="shared" si="88"/>
        <v>1.166788710433849</v>
      </c>
      <c r="Q322" s="7">
        <v>66.799221169999996</v>
      </c>
      <c r="R322">
        <f t="shared" si="79"/>
        <v>279.34397809081497</v>
      </c>
      <c r="S322">
        <f t="shared" si="80"/>
        <v>300.30109506336572</v>
      </c>
      <c r="T322">
        <f t="shared" si="81"/>
        <v>258.38686111826428</v>
      </c>
      <c r="U322">
        <f t="shared" si="82"/>
        <v>20.95711697255075</v>
      </c>
      <c r="V322">
        <f t="shared" si="83"/>
        <v>20.957116972550693</v>
      </c>
      <c r="W322">
        <f t="shared" si="84"/>
        <v>20.957116972550722</v>
      </c>
    </row>
    <row r="323" spans="1:293">
      <c r="A323" s="9"/>
      <c r="B323" s="13">
        <v>3900</v>
      </c>
      <c r="C323" s="13">
        <v>83.005399999999995</v>
      </c>
      <c r="D323" s="13">
        <v>3.0008900000000001</v>
      </c>
      <c r="E323" s="2">
        <v>0.22600000000000001</v>
      </c>
      <c r="F323" s="4"/>
      <c r="G323" s="4"/>
      <c r="H323" s="7">
        <v>1.2450810000000001</v>
      </c>
      <c r="I323" s="7">
        <v>1.2450810000000001</v>
      </c>
      <c r="J323" s="4">
        <f t="shared" si="85"/>
        <v>1.2450809999999999</v>
      </c>
      <c r="K323" s="3">
        <v>100</v>
      </c>
      <c r="L323" s="3">
        <v>7.8</v>
      </c>
      <c r="M323" s="3">
        <f t="shared" si="87"/>
        <v>4.2162162162162158</v>
      </c>
      <c r="N323" s="3">
        <v>0.82431339100000001</v>
      </c>
      <c r="O323">
        <f t="shared" si="86"/>
        <v>0.7064804309715117</v>
      </c>
      <c r="P323">
        <f t="shared" si="88"/>
        <v>1.166788710433849</v>
      </c>
      <c r="Q323" s="7">
        <v>70.945560880000002</v>
      </c>
      <c r="R323">
        <f t="shared" si="79"/>
        <v>290.63548716476373</v>
      </c>
      <c r="S323">
        <f t="shared" si="80"/>
        <v>312.52353374402406</v>
      </c>
      <c r="T323">
        <f t="shared" si="81"/>
        <v>268.74744058550334</v>
      </c>
      <c r="U323">
        <f t="shared" si="82"/>
        <v>21.888046579260333</v>
      </c>
      <c r="V323">
        <f t="shared" si="83"/>
        <v>21.88804657926039</v>
      </c>
      <c r="W323">
        <f t="shared" si="84"/>
        <v>21.888046579260362</v>
      </c>
    </row>
    <row r="324" spans="1:293">
      <c r="A324" s="9"/>
      <c r="B324" s="13">
        <v>3900</v>
      </c>
      <c r="C324" s="13">
        <v>89.377799999999993</v>
      </c>
      <c r="D324" s="13">
        <v>2.8953700000000002</v>
      </c>
      <c r="E324" s="2">
        <v>0.218</v>
      </c>
      <c r="F324" s="4"/>
      <c r="G324" s="4"/>
      <c r="H324" s="7">
        <v>1.3406670000000001</v>
      </c>
      <c r="I324" s="7">
        <v>1.3406670000000001</v>
      </c>
      <c r="J324" s="4">
        <f t="shared" si="85"/>
        <v>1.3406669999999998</v>
      </c>
      <c r="K324" s="3">
        <v>100</v>
      </c>
      <c r="L324" s="3">
        <v>7.8</v>
      </c>
      <c r="M324" s="3">
        <f t="shared" si="87"/>
        <v>4.2162162162162158</v>
      </c>
      <c r="N324" s="3">
        <v>0.82431339100000001</v>
      </c>
      <c r="O324">
        <f t="shared" si="86"/>
        <v>0.7064804309715117</v>
      </c>
      <c r="P324">
        <f t="shared" si="88"/>
        <v>1.166788710433849</v>
      </c>
      <c r="Q324" s="7">
        <v>75.326004400000002</v>
      </c>
      <c r="R324">
        <f t="shared" si="79"/>
        <v>301.94368362284615</v>
      </c>
      <c r="S324">
        <f t="shared" si="80"/>
        <v>324.67781536759048</v>
      </c>
      <c r="T324">
        <f t="shared" si="81"/>
        <v>279.20955187810182</v>
      </c>
      <c r="U324">
        <f t="shared" si="82"/>
        <v>22.734131744744332</v>
      </c>
      <c r="V324">
        <f t="shared" si="83"/>
        <v>22.734131744744332</v>
      </c>
      <c r="W324">
        <f t="shared" si="84"/>
        <v>22.734131744744332</v>
      </c>
    </row>
    <row r="325" spans="1:293">
      <c r="A325" s="9"/>
      <c r="B325" s="13">
        <v>3900</v>
      </c>
      <c r="C325" s="13">
        <v>96.239400000000003</v>
      </c>
      <c r="D325" s="13">
        <v>2.7899600000000002</v>
      </c>
      <c r="E325" s="2">
        <v>0.21</v>
      </c>
      <c r="F325" s="4"/>
      <c r="G325" s="4"/>
      <c r="H325" s="7">
        <v>1.4435910000000001</v>
      </c>
      <c r="I325" s="7">
        <v>1.4435910000000001</v>
      </c>
      <c r="J325" s="4">
        <f t="shared" si="85"/>
        <v>1.4435910000000001</v>
      </c>
      <c r="K325" s="3">
        <v>100</v>
      </c>
      <c r="L325" s="3">
        <v>7.8</v>
      </c>
      <c r="M325" s="3">
        <f t="shared" si="87"/>
        <v>4.2162162162162158</v>
      </c>
      <c r="N325" s="3">
        <v>0.82431339100000001</v>
      </c>
      <c r="O325">
        <f t="shared" si="86"/>
        <v>0.7064804309715117</v>
      </c>
      <c r="P325">
        <f t="shared" si="88"/>
        <v>1.166788710433849</v>
      </c>
      <c r="Q325" s="7">
        <v>79.946904129999993</v>
      </c>
      <c r="R325">
        <f t="shared" si="79"/>
        <v>313.28752507699062</v>
      </c>
      <c r="S325">
        <f t="shared" si="80"/>
        <v>336.86864461496538</v>
      </c>
      <c r="T325">
        <f t="shared" si="81"/>
        <v>289.70640553901592</v>
      </c>
      <c r="U325">
        <f t="shared" si="82"/>
        <v>23.581119537974757</v>
      </c>
      <c r="V325">
        <f t="shared" si="83"/>
        <v>23.581119537974701</v>
      </c>
      <c r="W325">
        <f t="shared" si="84"/>
        <v>23.581119537974729</v>
      </c>
    </row>
    <row r="326" spans="1:293">
      <c r="A326" s="9"/>
      <c r="B326" s="13">
        <v>3900</v>
      </c>
      <c r="C326" s="13">
        <v>103.628</v>
      </c>
      <c r="D326" s="13">
        <v>2.6855699999999998</v>
      </c>
      <c r="E326" s="2">
        <v>0.20200000000000001</v>
      </c>
      <c r="F326" s="4"/>
      <c r="G326" s="4"/>
      <c r="H326" s="7">
        <v>1.5544199999999999</v>
      </c>
      <c r="I326" s="7">
        <v>1.5544199999999999</v>
      </c>
      <c r="J326" s="4">
        <f t="shared" si="85"/>
        <v>1.5544199999999999</v>
      </c>
      <c r="K326" s="3">
        <v>100</v>
      </c>
      <c r="L326" s="3">
        <v>7.8</v>
      </c>
      <c r="M326" s="3">
        <f t="shared" si="87"/>
        <v>4.2162162162162158</v>
      </c>
      <c r="N326" s="3">
        <v>0.82431339100000001</v>
      </c>
      <c r="O326">
        <f t="shared" si="86"/>
        <v>0.7064804309715117</v>
      </c>
      <c r="P326">
        <f t="shared" si="88"/>
        <v>1.166788710433849</v>
      </c>
      <c r="Q326" s="7">
        <v>84.813076839999994</v>
      </c>
      <c r="R326">
        <f t="shared" si="79"/>
        <v>324.7175874306688</v>
      </c>
      <c r="S326">
        <f t="shared" si="80"/>
        <v>349.14180748860628</v>
      </c>
      <c r="T326">
        <f t="shared" si="81"/>
        <v>300.29336737273132</v>
      </c>
      <c r="U326">
        <f t="shared" si="82"/>
        <v>24.424220057937475</v>
      </c>
      <c r="V326">
        <f t="shared" si="83"/>
        <v>24.424220057937475</v>
      </c>
      <c r="W326">
        <f t="shared" si="84"/>
        <v>24.424220057937475</v>
      </c>
    </row>
    <row r="327" spans="1:293">
      <c r="A327" s="9"/>
      <c r="B327" s="13">
        <v>3900</v>
      </c>
      <c r="C327" s="13">
        <v>111.583</v>
      </c>
      <c r="D327" s="13">
        <v>2.5832299999999999</v>
      </c>
      <c r="E327" s="2">
        <v>0.19400000000000001</v>
      </c>
      <c r="F327" s="4"/>
      <c r="G327" s="4"/>
      <c r="H327" s="7">
        <v>1.673745</v>
      </c>
      <c r="I327" s="7">
        <v>1.673745</v>
      </c>
      <c r="J327" s="4">
        <f t="shared" si="85"/>
        <v>1.6737449999999998</v>
      </c>
      <c r="K327" s="3">
        <v>100</v>
      </c>
      <c r="L327" s="3">
        <v>7.8</v>
      </c>
      <c r="M327" s="3">
        <f t="shared" si="87"/>
        <v>4.2162162162162158</v>
      </c>
      <c r="N327" s="3">
        <v>0.82431339100000001</v>
      </c>
      <c r="O327">
        <f t="shared" si="86"/>
        <v>0.7064804309715117</v>
      </c>
      <c r="P327">
        <f t="shared" si="88"/>
        <v>1.166788710433849</v>
      </c>
      <c r="Q327" s="7">
        <v>89.927024250000002</v>
      </c>
      <c r="R327">
        <f t="shared" si="79"/>
        <v>336.32049038946224</v>
      </c>
      <c r="S327">
        <f t="shared" si="80"/>
        <v>361.57808461667219</v>
      </c>
      <c r="T327">
        <f t="shared" si="81"/>
        <v>311.06289616225223</v>
      </c>
      <c r="U327">
        <f t="shared" si="82"/>
        <v>25.25759422720995</v>
      </c>
      <c r="V327">
        <f t="shared" si="83"/>
        <v>25.257594227210006</v>
      </c>
      <c r="W327">
        <f t="shared" si="84"/>
        <v>25.257594227209978</v>
      </c>
    </row>
    <row r="328" spans="1:293">
      <c r="A328" s="9"/>
      <c r="B328" s="13">
        <v>3900</v>
      </c>
      <c r="C328" s="13">
        <v>120.15</v>
      </c>
      <c r="D328" s="13">
        <v>2.4840499999999999</v>
      </c>
      <c r="E328" s="2">
        <v>0.187</v>
      </c>
      <c r="F328" s="4"/>
      <c r="G328" s="4"/>
      <c r="H328" s="7">
        <v>1.8022499999999999</v>
      </c>
      <c r="I328" s="7">
        <v>1.8022499999999999</v>
      </c>
      <c r="J328" s="4">
        <f t="shared" si="85"/>
        <v>1.8022499999999999</v>
      </c>
      <c r="K328" s="3">
        <v>100</v>
      </c>
      <c r="L328" s="3">
        <v>7.8</v>
      </c>
      <c r="M328" s="3">
        <f t="shared" si="87"/>
        <v>4.2162162162162158</v>
      </c>
      <c r="N328" s="3">
        <v>0.82431339100000001</v>
      </c>
      <c r="O328">
        <f t="shared" si="86"/>
        <v>0.7064804309715117</v>
      </c>
      <c r="P328">
        <f t="shared" si="88"/>
        <v>1.166788710433849</v>
      </c>
      <c r="Q328" s="7">
        <v>95.292058870000005</v>
      </c>
      <c r="R328">
        <f t="shared" si="79"/>
        <v>348.23813376280725</v>
      </c>
      <c r="S328">
        <f t="shared" si="80"/>
        <v>374.45360084827053</v>
      </c>
      <c r="T328">
        <f t="shared" si="81"/>
        <v>322.02266667734409</v>
      </c>
      <c r="U328">
        <f t="shared" si="82"/>
        <v>26.215467085463274</v>
      </c>
      <c r="V328">
        <f t="shared" si="83"/>
        <v>26.21546708546316</v>
      </c>
      <c r="W328">
        <f t="shared" si="84"/>
        <v>26.215467085463217</v>
      </c>
    </row>
    <row r="329" spans="1:293">
      <c r="A329" s="9"/>
      <c r="B329" s="13">
        <v>3900</v>
      </c>
      <c r="C329" s="13">
        <v>129.37299999999999</v>
      </c>
      <c r="D329" s="13">
        <v>2.3892500000000001</v>
      </c>
      <c r="E329" s="2">
        <v>0.18</v>
      </c>
      <c r="F329" s="4"/>
      <c r="G329" s="4"/>
      <c r="H329" s="7">
        <v>1.9405950000000001</v>
      </c>
      <c r="I329" s="7">
        <v>1.9405950000000001</v>
      </c>
      <c r="J329" s="4">
        <f t="shared" si="85"/>
        <v>1.9405949999999998</v>
      </c>
      <c r="K329" s="3">
        <v>100</v>
      </c>
      <c r="L329" s="3">
        <v>7.8</v>
      </c>
      <c r="M329" s="3">
        <f t="shared" si="87"/>
        <v>4.2162162162162158</v>
      </c>
      <c r="N329" s="3">
        <v>0.82431339100000001</v>
      </c>
      <c r="O329">
        <f t="shared" si="86"/>
        <v>0.7064804309715117</v>
      </c>
      <c r="P329">
        <f t="shared" si="88"/>
        <v>1.166788710433849</v>
      </c>
      <c r="Q329" s="7">
        <v>100.9067664</v>
      </c>
      <c r="R329">
        <f t="shared" si="79"/>
        <v>360.65957122867422</v>
      </c>
      <c r="S329">
        <f t="shared" si="80"/>
        <v>387.83074327896674</v>
      </c>
      <c r="T329">
        <f t="shared" si="81"/>
        <v>333.48839917838171</v>
      </c>
      <c r="U329">
        <f t="shared" si="82"/>
        <v>27.171172050292512</v>
      </c>
      <c r="V329">
        <f t="shared" si="83"/>
        <v>27.171172050292512</v>
      </c>
      <c r="W329">
        <f t="shared" si="84"/>
        <v>27.171172050292512</v>
      </c>
    </row>
    <row r="330" spans="1:293">
      <c r="A330" s="9"/>
      <c r="B330" s="13">
        <v>3900</v>
      </c>
      <c r="C330" s="13">
        <v>139.30500000000001</v>
      </c>
      <c r="D330" s="13">
        <v>2.3000799999999999</v>
      </c>
      <c r="E330" s="2">
        <v>0.17299999999999999</v>
      </c>
      <c r="F330" s="4"/>
      <c r="G330" s="4"/>
      <c r="H330" s="7">
        <v>2.089575</v>
      </c>
      <c r="I330" s="7">
        <v>2.089575</v>
      </c>
      <c r="J330" s="4">
        <f t="shared" si="85"/>
        <v>2.089575</v>
      </c>
      <c r="K330" s="3">
        <v>100</v>
      </c>
      <c r="L330" s="3">
        <v>7.8</v>
      </c>
      <c r="M330" s="3">
        <f t="shared" si="87"/>
        <v>4.2162162162162158</v>
      </c>
      <c r="N330" s="3">
        <v>0.82431339100000001</v>
      </c>
      <c r="O330">
        <f t="shared" si="86"/>
        <v>0.7064804309715117</v>
      </c>
      <c r="P330">
        <f t="shared" si="88"/>
        <v>1.166788710433849</v>
      </c>
      <c r="Q330" s="7">
        <v>106.77185950000001</v>
      </c>
      <c r="R330">
        <f t="shared" si="79"/>
        <v>373.85385616617543</v>
      </c>
      <c r="S330">
        <f t="shared" si="80"/>
        <v>401.97318989228427</v>
      </c>
      <c r="T330">
        <f t="shared" si="81"/>
        <v>345.7345224400666</v>
      </c>
      <c r="U330">
        <f t="shared" si="82"/>
        <v>28.119333726108835</v>
      </c>
      <c r="V330">
        <f t="shared" si="83"/>
        <v>28.119333726108835</v>
      </c>
      <c r="W330">
        <f t="shared" si="84"/>
        <v>28.119333726108835</v>
      </c>
    </row>
    <row r="331" spans="1:293">
      <c r="A331" s="9"/>
      <c r="B331" s="13">
        <v>3900</v>
      </c>
      <c r="C331" s="13">
        <v>150</v>
      </c>
      <c r="D331" s="13">
        <v>2.2178</v>
      </c>
      <c r="E331" s="2">
        <v>0.16700000000000001</v>
      </c>
      <c r="F331" s="4"/>
      <c r="G331" s="4"/>
      <c r="H331" s="7">
        <v>2.25</v>
      </c>
      <c r="I331" s="7">
        <v>2.25</v>
      </c>
      <c r="J331" s="4">
        <f t="shared" si="85"/>
        <v>2.25</v>
      </c>
      <c r="K331" s="3">
        <v>100</v>
      </c>
      <c r="L331" s="3">
        <v>7.8</v>
      </c>
      <c r="M331" s="3">
        <f t="shared" si="87"/>
        <v>4.2162162162162158</v>
      </c>
      <c r="N331" s="3">
        <v>0.82431339100000001</v>
      </c>
      <c r="O331">
        <f t="shared" si="86"/>
        <v>0.7064804309715117</v>
      </c>
      <c r="P331">
        <f t="shared" si="88"/>
        <v>1.166788710433849</v>
      </c>
      <c r="Q331" s="7">
        <v>112.88629899999999</v>
      </c>
      <c r="R331">
        <f t="shared" si="79"/>
        <v>388.1556003000286</v>
      </c>
      <c r="S331">
        <f t="shared" si="80"/>
        <v>417.38365749639644</v>
      </c>
      <c r="T331">
        <f t="shared" si="81"/>
        <v>358.92754310366064</v>
      </c>
      <c r="U331">
        <f t="shared" si="82"/>
        <v>29.228057196367843</v>
      </c>
      <c r="V331">
        <f t="shared" si="83"/>
        <v>29.228057196367956</v>
      </c>
      <c r="W331">
        <f t="shared" si="84"/>
        <v>29.228057196367899</v>
      </c>
    </row>
    <row r="332" spans="1:293" s="20" customFormat="1">
      <c r="A332" s="27" t="s">
        <v>10</v>
      </c>
      <c r="B332" s="19">
        <v>4000</v>
      </c>
      <c r="C332" s="19">
        <v>6.4265999999999996</v>
      </c>
      <c r="D332" s="19">
        <v>7.0628000000000002</v>
      </c>
      <c r="E332" s="19">
        <f>(F332+G332)/2</f>
        <v>1.6127</v>
      </c>
      <c r="F332" s="19">
        <v>1.6072</v>
      </c>
      <c r="G332" s="19">
        <v>1.6182000000000001</v>
      </c>
      <c r="H332" s="19">
        <v>1.2330000000000001</v>
      </c>
      <c r="I332" s="19">
        <v>1.2823</v>
      </c>
      <c r="J332" s="19">
        <f>(H332+I332)/2</f>
        <v>1.2576499999999999</v>
      </c>
      <c r="K332" s="19">
        <v>0</v>
      </c>
      <c r="L332" s="19">
        <v>8</v>
      </c>
      <c r="M332" s="19">
        <f t="shared" si="87"/>
        <v>4.3243243243243237</v>
      </c>
      <c r="N332" s="19">
        <v>1</v>
      </c>
      <c r="O332" s="20">
        <f t="shared" si="86"/>
        <v>0.72874941563184781</v>
      </c>
      <c r="P332" s="5">
        <v>0.95340000000000003</v>
      </c>
      <c r="Q332" s="20">
        <f>C332</f>
        <v>6.4265999999999996</v>
      </c>
      <c r="R332" s="20">
        <f t="shared" si="79"/>
        <v>43.274626243632007</v>
      </c>
      <c r="S332" s="20">
        <f t="shared" si="80"/>
        <v>53.155833377219999</v>
      </c>
      <c r="T332" s="20">
        <f t="shared" si="81"/>
        <v>33.393419110044</v>
      </c>
      <c r="U332">
        <f t="shared" si="82"/>
        <v>9.8812071335879921</v>
      </c>
      <c r="V332">
        <f t="shared" si="83"/>
        <v>9.8812071335880063</v>
      </c>
      <c r="W332">
        <f t="shared" si="84"/>
        <v>9.8812071335879992</v>
      </c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  <c r="FT332" s="33"/>
      <c r="FU332" s="33"/>
      <c r="FV332" s="33"/>
      <c r="FW332" s="33"/>
      <c r="FX332" s="33"/>
      <c r="FY332" s="33"/>
      <c r="FZ332" s="33"/>
      <c r="GA332" s="33"/>
      <c r="GB332" s="33"/>
      <c r="GC332" s="33"/>
      <c r="GD332" s="33"/>
      <c r="GE332" s="33"/>
      <c r="GF332" s="33"/>
      <c r="GG332" s="33"/>
      <c r="GH332" s="33"/>
      <c r="GI332" s="33"/>
      <c r="GJ332" s="33"/>
      <c r="GK332" s="33"/>
      <c r="GL332" s="33"/>
      <c r="GM332" s="33"/>
      <c r="GN332" s="33"/>
      <c r="GO332" s="33"/>
      <c r="GP332" s="33"/>
      <c r="GQ332" s="33"/>
      <c r="GR332" s="33"/>
      <c r="GS332" s="33"/>
      <c r="GT332" s="33"/>
      <c r="GU332" s="33"/>
      <c r="GV332" s="33"/>
      <c r="GW332" s="33"/>
      <c r="GX332" s="33"/>
      <c r="GY332" s="33"/>
      <c r="GZ332" s="33"/>
      <c r="HA332" s="33"/>
      <c r="HB332" s="33"/>
      <c r="HC332" s="33"/>
      <c r="HD332" s="33"/>
      <c r="HE332" s="33"/>
      <c r="HF332" s="33"/>
      <c r="HG332" s="33"/>
      <c r="HH332" s="33"/>
      <c r="HI332" s="33"/>
      <c r="HJ332" s="33"/>
      <c r="HK332" s="33"/>
      <c r="HL332" s="33"/>
      <c r="HM332" s="33"/>
      <c r="HN332" s="33"/>
      <c r="HO332" s="33"/>
      <c r="HP332" s="33"/>
      <c r="HQ332" s="33"/>
      <c r="HR332" s="33"/>
      <c r="HS332" s="33"/>
      <c r="HT332" s="33"/>
      <c r="HU332" s="33"/>
      <c r="HV332" s="33"/>
      <c r="HW332" s="33"/>
      <c r="HX332" s="33"/>
      <c r="HY332" s="33"/>
      <c r="HZ332" s="33"/>
      <c r="IA332" s="33"/>
      <c r="IB332" s="33"/>
      <c r="IC332" s="33"/>
      <c r="ID332" s="33"/>
      <c r="IE332" s="33"/>
      <c r="IF332" s="33"/>
      <c r="IG332" s="33"/>
      <c r="IH332" s="33"/>
      <c r="II332" s="33"/>
      <c r="IJ332" s="33"/>
      <c r="IK332" s="33"/>
      <c r="IL332" s="33"/>
      <c r="IM332" s="33"/>
      <c r="IN332" s="33"/>
      <c r="IO332" s="33"/>
      <c r="IP332" s="33"/>
      <c r="IQ332" s="33"/>
      <c r="IR332" s="33"/>
      <c r="IS332" s="33"/>
      <c r="IT332" s="33"/>
      <c r="IU332" s="33"/>
      <c r="IV332" s="33"/>
      <c r="IW332" s="33"/>
      <c r="IX332" s="33"/>
      <c r="IY332" s="33"/>
      <c r="IZ332" s="33"/>
      <c r="JA332" s="33"/>
      <c r="JB332" s="33"/>
      <c r="JC332" s="33"/>
      <c r="JD332" s="33"/>
      <c r="JE332" s="33"/>
      <c r="JF332" s="33"/>
      <c r="JG332" s="33"/>
      <c r="JH332" s="33"/>
      <c r="JI332" s="33"/>
      <c r="JJ332" s="33"/>
      <c r="JK332" s="33"/>
      <c r="JL332" s="33"/>
      <c r="JM332" s="33"/>
      <c r="JN332" s="33"/>
      <c r="JO332" s="33"/>
      <c r="JP332" s="33"/>
      <c r="JQ332" s="33"/>
      <c r="JR332" s="33"/>
      <c r="JS332" s="33"/>
      <c r="JT332" s="33"/>
      <c r="JU332" s="33"/>
      <c r="JV332" s="33"/>
      <c r="JW332" s="33"/>
      <c r="JX332" s="33"/>
      <c r="JY332" s="33"/>
      <c r="JZ332" s="33"/>
      <c r="KA332" s="33"/>
      <c r="KB332" s="33"/>
      <c r="KC332" s="33"/>
      <c r="KD332" s="33"/>
      <c r="KE332" s="33"/>
      <c r="KF332" s="33"/>
      <c r="KG332" s="33"/>
    </row>
    <row r="333" spans="1:293" s="20" customFormat="1">
      <c r="A333" s="65" t="s">
        <v>77</v>
      </c>
      <c r="B333" s="19">
        <v>4000</v>
      </c>
      <c r="C333" s="19">
        <v>9.7462999999999997</v>
      </c>
      <c r="D333" s="19">
        <v>6.5271999999999997</v>
      </c>
      <c r="E333" s="19">
        <f>(F333+G333)/2</f>
        <v>0.977765</v>
      </c>
      <c r="F333" s="19">
        <v>1.0251999999999999</v>
      </c>
      <c r="G333" s="19">
        <v>0.93032999999999999</v>
      </c>
      <c r="H333" s="19">
        <v>1.4745999999999999</v>
      </c>
      <c r="I333" s="19">
        <v>1.5222</v>
      </c>
      <c r="J333" s="19">
        <f>(H333+I333)/2</f>
        <v>1.4984</v>
      </c>
      <c r="K333" s="19">
        <v>0</v>
      </c>
      <c r="L333" s="19">
        <v>8</v>
      </c>
      <c r="M333" s="19">
        <f t="shared" si="87"/>
        <v>4.3243243243243237</v>
      </c>
      <c r="N333" s="19">
        <v>1</v>
      </c>
      <c r="O333" s="20">
        <f t="shared" si="86"/>
        <v>0.72874941563184781</v>
      </c>
      <c r="P333" s="5">
        <v>0.95340000000000003</v>
      </c>
      <c r="Q333" s="20">
        <f>C333</f>
        <v>9.7462999999999997</v>
      </c>
      <c r="R333" s="20">
        <f t="shared" si="79"/>
        <v>60.651541459824003</v>
      </c>
      <c r="S333" s="20">
        <f t="shared" si="80"/>
        <v>69.737053537815299</v>
      </c>
      <c r="T333" s="20">
        <f t="shared" si="81"/>
        <v>51.566029381832699</v>
      </c>
      <c r="U333">
        <f t="shared" si="82"/>
        <v>9.0855120779912966</v>
      </c>
      <c r="V333">
        <f t="shared" si="83"/>
        <v>9.0855120779913037</v>
      </c>
      <c r="W333">
        <f t="shared" si="84"/>
        <v>9.0855120779913001</v>
      </c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  <c r="FT333" s="33"/>
      <c r="FU333" s="33"/>
      <c r="FV333" s="33"/>
      <c r="FW333" s="33"/>
      <c r="FX333" s="33"/>
      <c r="FY333" s="33"/>
      <c r="FZ333" s="33"/>
      <c r="GA333" s="33"/>
      <c r="GB333" s="33"/>
      <c r="GC333" s="33"/>
      <c r="GD333" s="33"/>
      <c r="GE333" s="33"/>
      <c r="GF333" s="33"/>
      <c r="GG333" s="33"/>
      <c r="GH333" s="33"/>
      <c r="GI333" s="33"/>
      <c r="GJ333" s="33"/>
      <c r="GK333" s="33"/>
      <c r="GL333" s="33"/>
      <c r="GM333" s="33"/>
      <c r="GN333" s="33"/>
      <c r="GO333" s="33"/>
      <c r="GP333" s="33"/>
      <c r="GQ333" s="33"/>
      <c r="GR333" s="33"/>
      <c r="GS333" s="33"/>
      <c r="GT333" s="33"/>
      <c r="GU333" s="33"/>
      <c r="GV333" s="33"/>
      <c r="GW333" s="33"/>
      <c r="GX333" s="33"/>
      <c r="GY333" s="33"/>
      <c r="GZ333" s="33"/>
      <c r="HA333" s="33"/>
      <c r="HB333" s="33"/>
      <c r="HC333" s="33"/>
      <c r="HD333" s="33"/>
      <c r="HE333" s="33"/>
      <c r="HF333" s="33"/>
      <c r="HG333" s="33"/>
      <c r="HH333" s="33"/>
      <c r="HI333" s="33"/>
      <c r="HJ333" s="33"/>
      <c r="HK333" s="33"/>
      <c r="HL333" s="33"/>
      <c r="HM333" s="33"/>
      <c r="HN333" s="33"/>
      <c r="HO333" s="33"/>
      <c r="HP333" s="33"/>
      <c r="HQ333" s="33"/>
      <c r="HR333" s="33"/>
      <c r="HS333" s="33"/>
      <c r="HT333" s="33"/>
      <c r="HU333" s="33"/>
      <c r="HV333" s="33"/>
      <c r="HW333" s="33"/>
      <c r="HX333" s="33"/>
      <c r="HY333" s="33"/>
      <c r="HZ333" s="33"/>
      <c r="IA333" s="33"/>
      <c r="IB333" s="33"/>
      <c r="IC333" s="33"/>
      <c r="ID333" s="33"/>
      <c r="IE333" s="33"/>
      <c r="IF333" s="33"/>
      <c r="IG333" s="33"/>
      <c r="IH333" s="33"/>
      <c r="II333" s="33"/>
      <c r="IJ333" s="33"/>
      <c r="IK333" s="33"/>
      <c r="IL333" s="33"/>
      <c r="IM333" s="33"/>
      <c r="IN333" s="33"/>
      <c r="IO333" s="33"/>
      <c r="IP333" s="33"/>
      <c r="IQ333" s="33"/>
      <c r="IR333" s="33"/>
      <c r="IS333" s="33"/>
      <c r="IT333" s="33"/>
      <c r="IU333" s="33"/>
      <c r="IV333" s="33"/>
      <c r="IW333" s="33"/>
      <c r="IX333" s="33"/>
      <c r="IY333" s="33"/>
      <c r="IZ333" s="33"/>
      <c r="JA333" s="33"/>
      <c r="JB333" s="33"/>
      <c r="JC333" s="33"/>
      <c r="JD333" s="33"/>
      <c r="JE333" s="33"/>
      <c r="JF333" s="33"/>
      <c r="JG333" s="33"/>
      <c r="JH333" s="33"/>
      <c r="JI333" s="33"/>
      <c r="JJ333" s="33"/>
      <c r="JK333" s="33"/>
      <c r="JL333" s="33"/>
      <c r="JM333" s="33"/>
      <c r="JN333" s="33"/>
      <c r="JO333" s="33"/>
      <c r="JP333" s="33"/>
      <c r="JQ333" s="33"/>
      <c r="JR333" s="33"/>
      <c r="JS333" s="33"/>
      <c r="JT333" s="33"/>
      <c r="JU333" s="33"/>
      <c r="JV333" s="33"/>
      <c r="JW333" s="33"/>
      <c r="JX333" s="33"/>
      <c r="JY333" s="33"/>
      <c r="JZ333" s="33"/>
      <c r="KA333" s="33"/>
      <c r="KB333" s="33"/>
      <c r="KC333" s="33"/>
      <c r="KD333" s="33"/>
      <c r="KE333" s="33"/>
      <c r="KF333" s="33"/>
      <c r="KG333" s="33"/>
    </row>
    <row r="334" spans="1:293" s="20" customFormat="1">
      <c r="A334" s="25"/>
      <c r="B334" s="19">
        <v>4000</v>
      </c>
      <c r="C334" s="19">
        <v>15.159000000000001</v>
      </c>
      <c r="D334" s="19">
        <v>4.93</v>
      </c>
      <c r="E334" s="19">
        <f>(F334+G334)/2</f>
        <v>0.547925</v>
      </c>
      <c r="F334" s="19">
        <v>0.53047</v>
      </c>
      <c r="G334" s="19">
        <v>0.56537999999999999</v>
      </c>
      <c r="H334" s="19">
        <v>1.6274999999999999</v>
      </c>
      <c r="I334" s="19">
        <v>1.6103000000000001</v>
      </c>
      <c r="J334" s="19">
        <f>(H334+I334)/2</f>
        <v>1.6189</v>
      </c>
      <c r="K334" s="19">
        <v>0</v>
      </c>
      <c r="L334" s="19">
        <v>8</v>
      </c>
      <c r="M334" s="19">
        <f t="shared" si="87"/>
        <v>4.3243243243243237</v>
      </c>
      <c r="N334" s="19">
        <v>1</v>
      </c>
      <c r="O334" s="20">
        <f t="shared" si="86"/>
        <v>0.72874941563184781</v>
      </c>
      <c r="P334" s="5">
        <v>0.95340000000000003</v>
      </c>
      <c r="Q334" s="20">
        <f>C334</f>
        <v>15.159000000000001</v>
      </c>
      <c r="R334" s="20">
        <f t="shared" si="79"/>
        <v>71.251271657999993</v>
      </c>
      <c r="S334" s="20">
        <f t="shared" si="80"/>
        <v>79.17020736250501</v>
      </c>
      <c r="T334" s="20">
        <f t="shared" si="81"/>
        <v>63.332335953494997</v>
      </c>
      <c r="U334">
        <f t="shared" si="82"/>
        <v>7.9189357045050173</v>
      </c>
      <c r="V334">
        <f t="shared" si="83"/>
        <v>7.918935704504996</v>
      </c>
      <c r="W334">
        <f t="shared" si="84"/>
        <v>7.9189357045050066</v>
      </c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  <c r="FT334" s="33"/>
      <c r="FU334" s="33"/>
      <c r="FV334" s="33"/>
      <c r="FW334" s="33"/>
      <c r="FX334" s="33"/>
      <c r="FY334" s="33"/>
      <c r="FZ334" s="33"/>
      <c r="GA334" s="33"/>
      <c r="GB334" s="33"/>
      <c r="GC334" s="33"/>
      <c r="GD334" s="33"/>
      <c r="GE334" s="33"/>
      <c r="GF334" s="33"/>
      <c r="GG334" s="33"/>
      <c r="GH334" s="33"/>
      <c r="GI334" s="33"/>
      <c r="GJ334" s="33"/>
      <c r="GK334" s="33"/>
      <c r="GL334" s="33"/>
      <c r="GM334" s="33"/>
      <c r="GN334" s="33"/>
      <c r="GO334" s="33"/>
      <c r="GP334" s="33"/>
      <c r="GQ334" s="33"/>
      <c r="GR334" s="33"/>
      <c r="GS334" s="33"/>
      <c r="GT334" s="33"/>
      <c r="GU334" s="33"/>
      <c r="GV334" s="33"/>
      <c r="GW334" s="33"/>
      <c r="GX334" s="33"/>
      <c r="GY334" s="33"/>
      <c r="GZ334" s="33"/>
      <c r="HA334" s="33"/>
      <c r="HB334" s="33"/>
      <c r="HC334" s="33"/>
      <c r="HD334" s="33"/>
      <c r="HE334" s="33"/>
      <c r="HF334" s="33"/>
      <c r="HG334" s="33"/>
      <c r="HH334" s="33"/>
      <c r="HI334" s="33"/>
      <c r="HJ334" s="33"/>
      <c r="HK334" s="33"/>
      <c r="HL334" s="33"/>
      <c r="HM334" s="33"/>
      <c r="HN334" s="33"/>
      <c r="HO334" s="33"/>
      <c r="HP334" s="33"/>
      <c r="HQ334" s="33"/>
      <c r="HR334" s="33"/>
      <c r="HS334" s="33"/>
      <c r="HT334" s="33"/>
      <c r="HU334" s="33"/>
      <c r="HV334" s="33"/>
      <c r="HW334" s="33"/>
      <c r="HX334" s="33"/>
      <c r="HY334" s="33"/>
      <c r="HZ334" s="33"/>
      <c r="IA334" s="33"/>
      <c r="IB334" s="33"/>
      <c r="IC334" s="33"/>
      <c r="ID334" s="33"/>
      <c r="IE334" s="33"/>
      <c r="IF334" s="33"/>
      <c r="IG334" s="33"/>
      <c r="IH334" s="33"/>
      <c r="II334" s="33"/>
      <c r="IJ334" s="33"/>
      <c r="IK334" s="33"/>
      <c r="IL334" s="33"/>
      <c r="IM334" s="33"/>
      <c r="IN334" s="33"/>
      <c r="IO334" s="33"/>
      <c r="IP334" s="33"/>
      <c r="IQ334" s="33"/>
      <c r="IR334" s="33"/>
      <c r="IS334" s="33"/>
      <c r="IT334" s="33"/>
      <c r="IU334" s="33"/>
      <c r="IV334" s="33"/>
      <c r="IW334" s="33"/>
      <c r="IX334" s="33"/>
      <c r="IY334" s="33"/>
      <c r="IZ334" s="33"/>
      <c r="JA334" s="33"/>
      <c r="JB334" s="33"/>
      <c r="JC334" s="33"/>
      <c r="JD334" s="33"/>
      <c r="JE334" s="33"/>
      <c r="JF334" s="33"/>
      <c r="JG334" s="33"/>
      <c r="JH334" s="33"/>
      <c r="JI334" s="33"/>
      <c r="JJ334" s="33"/>
      <c r="JK334" s="33"/>
      <c r="JL334" s="33"/>
      <c r="JM334" s="33"/>
      <c r="JN334" s="33"/>
      <c r="JO334" s="33"/>
      <c r="JP334" s="33"/>
      <c r="JQ334" s="33"/>
      <c r="JR334" s="33"/>
      <c r="JS334" s="33"/>
      <c r="JT334" s="33"/>
      <c r="JU334" s="33"/>
      <c r="JV334" s="33"/>
      <c r="JW334" s="33"/>
      <c r="JX334" s="33"/>
      <c r="JY334" s="33"/>
      <c r="JZ334" s="33"/>
      <c r="KA334" s="33"/>
      <c r="KB334" s="33"/>
      <c r="KC334" s="33"/>
      <c r="KD334" s="33"/>
      <c r="KE334" s="33"/>
      <c r="KF334" s="33"/>
      <c r="KG334" s="33"/>
    </row>
    <row r="335" spans="1:293" s="20" customFormat="1">
      <c r="A335" s="25"/>
      <c r="B335" s="19">
        <v>4000</v>
      </c>
      <c r="C335" s="19">
        <v>57.393000000000001</v>
      </c>
      <c r="D335" s="19">
        <v>3.1349999999999998</v>
      </c>
      <c r="E335" s="19">
        <f>(F335+G335)/2</f>
        <v>0.30032999999999999</v>
      </c>
      <c r="F335" s="19">
        <v>0.29641000000000001</v>
      </c>
      <c r="G335" s="19">
        <v>0.30425000000000002</v>
      </c>
      <c r="H335" s="19">
        <v>3.1684000000000001</v>
      </c>
      <c r="I335" s="19">
        <v>4.1249000000000002</v>
      </c>
      <c r="J335" s="19">
        <f>(H335+I335)/2</f>
        <v>3.6466500000000002</v>
      </c>
      <c r="K335" s="19">
        <v>0</v>
      </c>
      <c r="L335" s="19">
        <v>8</v>
      </c>
      <c r="M335" s="19">
        <f t="shared" si="87"/>
        <v>4.3243243243243237</v>
      </c>
      <c r="N335" s="19">
        <v>1</v>
      </c>
      <c r="O335" s="20">
        <f t="shared" si="86"/>
        <v>0.72874941563184781</v>
      </c>
      <c r="P335" s="5">
        <v>0.95340000000000003</v>
      </c>
      <c r="Q335" s="20">
        <f>C335</f>
        <v>57.393000000000001</v>
      </c>
      <c r="R335" s="20">
        <f t="shared" si="79"/>
        <v>171.54245423699999</v>
      </c>
      <c r="S335" s="20">
        <f t="shared" si="80"/>
        <v>187.97605719744598</v>
      </c>
      <c r="T335" s="20">
        <f t="shared" si="81"/>
        <v>155.10885127655402</v>
      </c>
      <c r="U335">
        <f t="shared" si="82"/>
        <v>16.433602960445995</v>
      </c>
      <c r="V335">
        <f t="shared" si="83"/>
        <v>16.433602960445967</v>
      </c>
      <c r="W335">
        <f t="shared" si="84"/>
        <v>16.433602960445981</v>
      </c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  <c r="FT335" s="33"/>
      <c r="FU335" s="33"/>
      <c r="FV335" s="33"/>
      <c r="FW335" s="33"/>
      <c r="FX335" s="33"/>
      <c r="FY335" s="33"/>
      <c r="FZ335" s="33"/>
      <c r="GA335" s="33"/>
      <c r="GB335" s="33"/>
      <c r="GC335" s="33"/>
      <c r="GD335" s="33"/>
      <c r="GE335" s="33"/>
      <c r="GF335" s="33"/>
      <c r="GG335" s="33"/>
      <c r="GH335" s="33"/>
      <c r="GI335" s="33"/>
      <c r="GJ335" s="33"/>
      <c r="GK335" s="33"/>
      <c r="GL335" s="33"/>
      <c r="GM335" s="33"/>
      <c r="GN335" s="33"/>
      <c r="GO335" s="33"/>
      <c r="GP335" s="33"/>
      <c r="GQ335" s="33"/>
      <c r="GR335" s="33"/>
      <c r="GS335" s="33"/>
      <c r="GT335" s="33"/>
      <c r="GU335" s="33"/>
      <c r="GV335" s="33"/>
      <c r="GW335" s="33"/>
      <c r="GX335" s="33"/>
      <c r="GY335" s="33"/>
      <c r="GZ335" s="33"/>
      <c r="HA335" s="33"/>
      <c r="HB335" s="33"/>
      <c r="HC335" s="33"/>
      <c r="HD335" s="33"/>
      <c r="HE335" s="33"/>
      <c r="HF335" s="33"/>
      <c r="HG335" s="33"/>
      <c r="HH335" s="33"/>
      <c r="HI335" s="33"/>
      <c r="HJ335" s="33"/>
      <c r="HK335" s="33"/>
      <c r="HL335" s="33"/>
      <c r="HM335" s="33"/>
      <c r="HN335" s="33"/>
      <c r="HO335" s="33"/>
      <c r="HP335" s="33"/>
      <c r="HQ335" s="33"/>
      <c r="HR335" s="33"/>
      <c r="HS335" s="33"/>
      <c r="HT335" s="33"/>
      <c r="HU335" s="33"/>
      <c r="HV335" s="33"/>
      <c r="HW335" s="33"/>
      <c r="HX335" s="33"/>
      <c r="HY335" s="33"/>
      <c r="HZ335" s="33"/>
      <c r="IA335" s="33"/>
      <c r="IB335" s="33"/>
      <c r="IC335" s="33"/>
      <c r="ID335" s="33"/>
      <c r="IE335" s="33"/>
      <c r="IF335" s="33"/>
      <c r="IG335" s="33"/>
      <c r="IH335" s="33"/>
      <c r="II335" s="33"/>
      <c r="IJ335" s="33"/>
      <c r="IK335" s="33"/>
      <c r="IL335" s="33"/>
      <c r="IM335" s="33"/>
      <c r="IN335" s="33"/>
      <c r="IO335" s="33"/>
      <c r="IP335" s="33"/>
      <c r="IQ335" s="33"/>
      <c r="IR335" s="33"/>
      <c r="IS335" s="33"/>
      <c r="IT335" s="33"/>
      <c r="IU335" s="33"/>
      <c r="IV335" s="33"/>
      <c r="IW335" s="33"/>
      <c r="IX335" s="33"/>
      <c r="IY335" s="33"/>
      <c r="IZ335" s="33"/>
      <c r="JA335" s="33"/>
      <c r="JB335" s="33"/>
      <c r="JC335" s="33"/>
      <c r="JD335" s="33"/>
      <c r="JE335" s="33"/>
      <c r="JF335" s="33"/>
      <c r="JG335" s="33"/>
      <c r="JH335" s="33"/>
      <c r="JI335" s="33"/>
      <c r="JJ335" s="33"/>
      <c r="JK335" s="33"/>
      <c r="JL335" s="33"/>
      <c r="JM335" s="33"/>
      <c r="JN335" s="33"/>
      <c r="JO335" s="33"/>
      <c r="JP335" s="33"/>
      <c r="JQ335" s="33"/>
      <c r="JR335" s="33"/>
      <c r="JS335" s="33"/>
      <c r="JT335" s="33"/>
      <c r="JU335" s="33"/>
      <c r="JV335" s="33"/>
      <c r="JW335" s="33"/>
      <c r="JX335" s="33"/>
      <c r="JY335" s="33"/>
      <c r="JZ335" s="33"/>
      <c r="KA335" s="33"/>
      <c r="KB335" s="33"/>
      <c r="KC335" s="33"/>
      <c r="KD335" s="33"/>
      <c r="KE335" s="33"/>
      <c r="KF335" s="33"/>
      <c r="KG335" s="33"/>
    </row>
    <row r="336" spans="1:293">
      <c r="A336" s="12" t="s">
        <v>25</v>
      </c>
      <c r="B336" s="4">
        <v>4060</v>
      </c>
      <c r="C336" s="7">
        <v>6.8969258570000003</v>
      </c>
      <c r="D336" s="7">
        <v>6.450711289</v>
      </c>
      <c r="E336" s="4">
        <f>0.03*D336</f>
        <v>0.19352133866999999</v>
      </c>
      <c r="H336" s="7">
        <v>0.17264154600000001</v>
      </c>
      <c r="I336" s="7">
        <v>0.24063146899999999</v>
      </c>
      <c r="J336" s="4">
        <f>(H336+I336)/2</f>
        <v>0.20663650750000001</v>
      </c>
      <c r="K336" s="3">
        <v>190</v>
      </c>
      <c r="L336" s="3">
        <v>10</v>
      </c>
      <c r="M336" s="3">
        <f t="shared" si="87"/>
        <v>5.4054054054054053</v>
      </c>
      <c r="N336" s="3">
        <v>1</v>
      </c>
      <c r="O336">
        <f t="shared" si="86"/>
        <v>0.90317746530314091</v>
      </c>
      <c r="P336">
        <f t="shared" ref="P336:P354" si="89">N336/O336</f>
        <v>1.1072021152170373</v>
      </c>
      <c r="Q336">
        <f>C336</f>
        <v>6.8969258570000003</v>
      </c>
      <c r="R336">
        <f t="shared" si="79"/>
        <v>49.259507897723431</v>
      </c>
      <c r="S336">
        <f t="shared" si="80"/>
        <v>50.737293134655133</v>
      </c>
      <c r="T336">
        <f t="shared" si="81"/>
        <v>47.781722660791729</v>
      </c>
      <c r="U336">
        <f t="shared" si="82"/>
        <v>1.4777852369317017</v>
      </c>
      <c r="V336">
        <f t="shared" si="83"/>
        <v>1.4777852369317017</v>
      </c>
      <c r="W336">
        <f t="shared" si="84"/>
        <v>1.4777852369317017</v>
      </c>
    </row>
    <row r="337" spans="1:23">
      <c r="A337" s="66" t="s">
        <v>65</v>
      </c>
      <c r="B337" s="4">
        <v>4060</v>
      </c>
      <c r="C337" s="7">
        <v>9.4765358469999992</v>
      </c>
      <c r="D337" s="7">
        <v>6.0582369720000004</v>
      </c>
      <c r="E337" s="4">
        <f t="shared" ref="E337:E354" si="90">0.03*D337</f>
        <v>0.18174710916</v>
      </c>
      <c r="G337" s="9" t="s">
        <v>61</v>
      </c>
      <c r="H337" s="7">
        <v>0.234007083</v>
      </c>
      <c r="I337" s="7">
        <v>0.22948606999999999</v>
      </c>
      <c r="J337" s="4">
        <f t="shared" ref="J337:J354" si="91">(H337+I337)/2</f>
        <v>0.2317465765</v>
      </c>
      <c r="K337" s="3">
        <v>190</v>
      </c>
      <c r="L337" s="3">
        <v>10</v>
      </c>
      <c r="M337" s="3">
        <f t="shared" si="87"/>
        <v>5.4054054054054053</v>
      </c>
      <c r="N337" s="3">
        <v>1</v>
      </c>
      <c r="O337">
        <f t="shared" si="86"/>
        <v>0.90317746530314091</v>
      </c>
      <c r="P337">
        <f t="shared" si="89"/>
        <v>1.1072021152170373</v>
      </c>
      <c r="Q337">
        <f t="shared" ref="Q337:Q354" si="92">C337</f>
        <v>9.4765358469999992</v>
      </c>
      <c r="R337">
        <f t="shared" si="79"/>
        <v>63.565691174003511</v>
      </c>
      <c r="S337">
        <f t="shared" si="80"/>
        <v>65.472661909223618</v>
      </c>
      <c r="T337">
        <f t="shared" si="81"/>
        <v>61.658720438783405</v>
      </c>
      <c r="U337">
        <f t="shared" si="82"/>
        <v>1.9069707352201064</v>
      </c>
      <c r="V337">
        <f t="shared" si="83"/>
        <v>1.9069707352201064</v>
      </c>
      <c r="W337">
        <f t="shared" si="84"/>
        <v>1.9069707352201064</v>
      </c>
    </row>
    <row r="338" spans="1:23">
      <c r="B338" s="4">
        <v>4060</v>
      </c>
      <c r="C338" s="7">
        <v>12.07362603</v>
      </c>
      <c r="D338" s="7">
        <v>5.7633009529999999</v>
      </c>
      <c r="E338" s="4">
        <f t="shared" si="90"/>
        <v>0.17289902859</v>
      </c>
      <c r="G338" s="9" t="s">
        <v>62</v>
      </c>
      <c r="H338" s="7">
        <v>0.273496925</v>
      </c>
      <c r="I338" s="7">
        <v>0.32144856900000002</v>
      </c>
      <c r="J338" s="4">
        <f t="shared" si="91"/>
        <v>0.29747274700000004</v>
      </c>
      <c r="K338" s="3">
        <v>190</v>
      </c>
      <c r="L338" s="3">
        <v>10</v>
      </c>
      <c r="M338" s="3">
        <f t="shared" si="87"/>
        <v>5.4054054054054053</v>
      </c>
      <c r="N338" s="3">
        <v>1</v>
      </c>
      <c r="O338">
        <f t="shared" si="86"/>
        <v>0.90317746530314091</v>
      </c>
      <c r="P338">
        <f t="shared" si="89"/>
        <v>1.1072021152170373</v>
      </c>
      <c r="Q338">
        <f t="shared" si="92"/>
        <v>12.07362603</v>
      </c>
      <c r="R338">
        <f t="shared" si="79"/>
        <v>77.043486001402357</v>
      </c>
      <c r="S338">
        <f t="shared" si="80"/>
        <v>79.354790581444419</v>
      </c>
      <c r="T338">
        <f t="shared" si="81"/>
        <v>74.732181421360281</v>
      </c>
      <c r="U338">
        <f t="shared" si="82"/>
        <v>2.3113045800420622</v>
      </c>
      <c r="V338">
        <f t="shared" si="83"/>
        <v>2.3113045800420764</v>
      </c>
      <c r="W338">
        <f t="shared" si="84"/>
        <v>2.3113045800420693</v>
      </c>
    </row>
    <row r="339" spans="1:23">
      <c r="B339" s="4">
        <v>4060</v>
      </c>
      <c r="C339" s="7">
        <v>14.48470129</v>
      </c>
      <c r="D339" s="7">
        <v>5.5023753920000003</v>
      </c>
      <c r="E339" s="4">
        <f t="shared" si="90"/>
        <v>0.16507126176</v>
      </c>
      <c r="G339" s="9">
        <v>47.058355929999998</v>
      </c>
      <c r="H339" s="7">
        <v>0.29859004500000003</v>
      </c>
      <c r="I339" s="7">
        <v>0.30426218999999999</v>
      </c>
      <c r="J339" s="4">
        <f t="shared" si="91"/>
        <v>0.30142611750000003</v>
      </c>
      <c r="K339" s="3">
        <v>190</v>
      </c>
      <c r="L339" s="3">
        <v>10</v>
      </c>
      <c r="M339" s="3">
        <f t="shared" si="87"/>
        <v>5.4054054054054053</v>
      </c>
      <c r="N339" s="3">
        <v>1</v>
      </c>
      <c r="O339">
        <f t="shared" si="86"/>
        <v>0.90317746530314091</v>
      </c>
      <c r="P339">
        <f t="shared" si="89"/>
        <v>1.1072021152170373</v>
      </c>
      <c r="Q339">
        <f t="shared" si="92"/>
        <v>14.48470129</v>
      </c>
      <c r="R339">
        <f t="shared" si="79"/>
        <v>88.244300816137169</v>
      </c>
      <c r="S339">
        <f t="shared" si="80"/>
        <v>90.891629840621263</v>
      </c>
      <c r="T339">
        <f t="shared" si="81"/>
        <v>85.596971791653047</v>
      </c>
      <c r="U339">
        <f t="shared" si="82"/>
        <v>2.6473290244840939</v>
      </c>
      <c r="V339">
        <f t="shared" si="83"/>
        <v>2.6473290244841223</v>
      </c>
      <c r="W339">
        <f t="shared" si="84"/>
        <v>2.6473290244841081</v>
      </c>
    </row>
    <row r="340" spans="1:23">
      <c r="B340" s="4">
        <v>4060</v>
      </c>
      <c r="C340" s="7">
        <v>16.804226799999999</v>
      </c>
      <c r="D340" s="7">
        <v>5.5067710820000002</v>
      </c>
      <c r="E340" s="4">
        <f t="shared" si="90"/>
        <v>0.16520313246000001</v>
      </c>
      <c r="G340" s="9" t="s">
        <v>22</v>
      </c>
      <c r="H340" s="7">
        <v>0.50352016600000005</v>
      </c>
      <c r="I340" s="7">
        <v>0.34483102300000001</v>
      </c>
      <c r="J340" s="4">
        <f t="shared" si="91"/>
        <v>0.42417559450000003</v>
      </c>
      <c r="K340" s="3">
        <v>190</v>
      </c>
      <c r="L340" s="3">
        <v>10</v>
      </c>
      <c r="M340" s="3">
        <f t="shared" si="87"/>
        <v>5.4054054054054053</v>
      </c>
      <c r="N340" s="3">
        <v>1</v>
      </c>
      <c r="O340">
        <f t="shared" si="86"/>
        <v>0.90317746530314091</v>
      </c>
      <c r="P340">
        <f t="shared" si="89"/>
        <v>1.1072021152170373</v>
      </c>
      <c r="Q340">
        <f t="shared" si="92"/>
        <v>16.804226799999999</v>
      </c>
      <c r="R340">
        <f t="shared" ref="R340:R354" si="93">C340*D340*P340</f>
        <v>102.45719557069597</v>
      </c>
      <c r="S340">
        <f t="shared" ref="S340:S354" si="94">C340*(D340+E340)*P340</f>
        <v>105.53091143781685</v>
      </c>
      <c r="T340">
        <f t="shared" ref="T340:T354" si="95">C340*(D340-E340)*P340</f>
        <v>99.383479703575091</v>
      </c>
      <c r="U340">
        <f t="shared" ref="U340:U354" si="96">(S340-R340)</f>
        <v>3.0737158671208817</v>
      </c>
      <c r="V340">
        <f t="shared" ref="V340:V354" si="97">(R340-T340)</f>
        <v>3.0737158671208817</v>
      </c>
      <c r="W340">
        <f t="shared" ref="W340:W354" si="98">(U340+V340)/2</f>
        <v>3.0737158671208817</v>
      </c>
    </row>
    <row r="341" spans="1:23">
      <c r="B341" s="4">
        <v>4060</v>
      </c>
      <c r="C341" s="7">
        <v>19.289307390000001</v>
      </c>
      <c r="D341" s="7">
        <v>5.0592820510000003</v>
      </c>
      <c r="E341" s="4">
        <f t="shared" si="90"/>
        <v>0.15177846152999999</v>
      </c>
      <c r="G341" s="9">
        <v>49.358974359000001</v>
      </c>
      <c r="H341" s="7">
        <v>0.16785602499999999</v>
      </c>
      <c r="I341" s="7">
        <v>0.29391602999999999</v>
      </c>
      <c r="J341" s="4">
        <f t="shared" si="91"/>
        <v>0.23088602749999998</v>
      </c>
      <c r="K341" s="3">
        <v>190</v>
      </c>
      <c r="L341" s="3">
        <v>10</v>
      </c>
      <c r="M341" s="3">
        <f t="shared" si="87"/>
        <v>5.4054054054054053</v>
      </c>
      <c r="N341" s="3">
        <v>1</v>
      </c>
      <c r="O341">
        <f t="shared" si="86"/>
        <v>0.90317746530314091</v>
      </c>
      <c r="P341">
        <f t="shared" si="89"/>
        <v>1.1072021152170373</v>
      </c>
      <c r="Q341">
        <f t="shared" si="92"/>
        <v>19.289307390000001</v>
      </c>
      <c r="R341">
        <f t="shared" si="93"/>
        <v>108.05190607993492</v>
      </c>
      <c r="S341">
        <f t="shared" si="94"/>
        <v>111.29346326233296</v>
      </c>
      <c r="T341">
        <f t="shared" si="95"/>
        <v>104.81034889753687</v>
      </c>
      <c r="U341">
        <f t="shared" si="96"/>
        <v>3.24155718239804</v>
      </c>
      <c r="V341">
        <f t="shared" si="97"/>
        <v>3.2415571823980542</v>
      </c>
      <c r="W341">
        <f t="shared" si="98"/>
        <v>3.2415571823980471</v>
      </c>
    </row>
    <row r="342" spans="1:23">
      <c r="B342" s="4">
        <v>4060</v>
      </c>
      <c r="C342" s="7">
        <v>21.551985330000001</v>
      </c>
      <c r="D342" s="7">
        <v>5.0638649239999998</v>
      </c>
      <c r="E342" s="4">
        <f t="shared" si="90"/>
        <v>0.15191594772</v>
      </c>
      <c r="H342" s="7">
        <v>0.37942098400000002</v>
      </c>
      <c r="I342" s="7">
        <v>0.324932677</v>
      </c>
      <c r="J342" s="4">
        <f t="shared" si="91"/>
        <v>0.35217683050000004</v>
      </c>
      <c r="K342" s="3">
        <v>190</v>
      </c>
      <c r="L342" s="3">
        <v>10</v>
      </c>
      <c r="M342" s="3">
        <f t="shared" si="87"/>
        <v>5.4054054054054053</v>
      </c>
      <c r="N342" s="3">
        <v>1</v>
      </c>
      <c r="O342">
        <f t="shared" si="86"/>
        <v>0.90317746530314091</v>
      </c>
      <c r="P342">
        <f t="shared" si="89"/>
        <v>1.1072021152170373</v>
      </c>
      <c r="Q342">
        <f t="shared" si="92"/>
        <v>21.551985330000001</v>
      </c>
      <c r="R342">
        <f t="shared" si="93"/>
        <v>120.83598932411276</v>
      </c>
      <c r="S342">
        <f t="shared" si="94"/>
        <v>124.46106900383614</v>
      </c>
      <c r="T342">
        <f t="shared" si="95"/>
        <v>117.21090964438937</v>
      </c>
      <c r="U342">
        <f t="shared" si="96"/>
        <v>3.6250796797233846</v>
      </c>
      <c r="V342">
        <f t="shared" si="97"/>
        <v>3.6250796797233846</v>
      </c>
      <c r="W342">
        <f t="shared" si="98"/>
        <v>3.6250796797233846</v>
      </c>
    </row>
    <row r="343" spans="1:23">
      <c r="B343" s="4">
        <v>4060</v>
      </c>
      <c r="C343" s="7">
        <v>23.81931702</v>
      </c>
      <c r="D343" s="7">
        <v>4.7479884739999996</v>
      </c>
      <c r="E343" s="4">
        <f t="shared" si="90"/>
        <v>0.14243965421999999</v>
      </c>
      <c r="H343" s="7">
        <v>0.33487066599999998</v>
      </c>
      <c r="I343" s="7">
        <v>0.32434484699999999</v>
      </c>
      <c r="J343" s="4">
        <f t="shared" si="91"/>
        <v>0.32960775649999996</v>
      </c>
      <c r="K343" s="3">
        <v>190</v>
      </c>
      <c r="L343" s="3">
        <v>10</v>
      </c>
      <c r="M343" s="3">
        <f t="shared" si="87"/>
        <v>5.4054054054054053</v>
      </c>
      <c r="N343" s="3">
        <v>1</v>
      </c>
      <c r="O343">
        <f t="shared" si="86"/>
        <v>0.90317746530314091</v>
      </c>
      <c r="P343">
        <f t="shared" si="89"/>
        <v>1.1072021152170373</v>
      </c>
      <c r="Q343">
        <f t="shared" si="92"/>
        <v>23.81931702</v>
      </c>
      <c r="R343">
        <f t="shared" si="93"/>
        <v>125.21774182170653</v>
      </c>
      <c r="S343">
        <f t="shared" si="94"/>
        <v>128.97427407635774</v>
      </c>
      <c r="T343">
        <f t="shared" si="95"/>
        <v>121.46120956705532</v>
      </c>
      <c r="U343">
        <f t="shared" si="96"/>
        <v>3.7565322546512192</v>
      </c>
      <c r="V343">
        <f t="shared" si="97"/>
        <v>3.756532254651205</v>
      </c>
      <c r="W343">
        <f t="shared" si="98"/>
        <v>3.7565322546512121</v>
      </c>
    </row>
    <row r="344" spans="1:23">
      <c r="B344" s="4">
        <v>4060</v>
      </c>
      <c r="C344" s="7">
        <v>26.15537406</v>
      </c>
      <c r="D344" s="7">
        <v>4.562944817</v>
      </c>
      <c r="E344" s="4">
        <f t="shared" si="90"/>
        <v>0.13688834450999998</v>
      </c>
      <c r="H344" s="7">
        <v>0.28772400300000001</v>
      </c>
      <c r="I344" s="7">
        <v>0.32111444500000003</v>
      </c>
      <c r="J344" s="4">
        <f t="shared" si="91"/>
        <v>0.30441922399999999</v>
      </c>
      <c r="K344" s="3">
        <v>190</v>
      </c>
      <c r="L344" s="3">
        <v>10</v>
      </c>
      <c r="M344" s="3">
        <f t="shared" si="87"/>
        <v>5.4054054054054053</v>
      </c>
      <c r="N344" s="3">
        <v>1</v>
      </c>
      <c r="O344">
        <f t="shared" si="86"/>
        <v>0.90317746530314091</v>
      </c>
      <c r="P344">
        <f t="shared" si="89"/>
        <v>1.1072021152170373</v>
      </c>
      <c r="Q344">
        <f t="shared" si="92"/>
        <v>26.15537406</v>
      </c>
      <c r="R344">
        <f t="shared" si="93"/>
        <v>132.13962160107295</v>
      </c>
      <c r="S344">
        <f t="shared" si="94"/>
        <v>136.10381024910512</v>
      </c>
      <c r="T344">
        <f t="shared" si="95"/>
        <v>128.17543295304077</v>
      </c>
      <c r="U344">
        <f t="shared" si="96"/>
        <v>3.9641886480321773</v>
      </c>
      <c r="V344">
        <f t="shared" si="97"/>
        <v>3.9641886480321773</v>
      </c>
      <c r="W344">
        <f t="shared" si="98"/>
        <v>3.9641886480321773</v>
      </c>
    </row>
    <row r="345" spans="1:23">
      <c r="B345" s="4">
        <v>4060</v>
      </c>
      <c r="C345" s="7">
        <v>28.25737067</v>
      </c>
      <c r="D345" s="7">
        <v>4.660569916</v>
      </c>
      <c r="E345" s="4">
        <f t="shared" si="90"/>
        <v>0.13981709747999999</v>
      </c>
      <c r="H345" s="7">
        <v>0.27780197400000001</v>
      </c>
      <c r="I345" s="7">
        <v>0.33001609199999998</v>
      </c>
      <c r="J345" s="4">
        <f t="shared" si="91"/>
        <v>0.303909033</v>
      </c>
      <c r="K345" s="3">
        <v>190</v>
      </c>
      <c r="L345" s="3">
        <v>10</v>
      </c>
      <c r="M345" s="3">
        <f t="shared" si="87"/>
        <v>5.4054054054054053</v>
      </c>
      <c r="N345" s="3">
        <v>1</v>
      </c>
      <c r="O345">
        <f t="shared" si="86"/>
        <v>0.90317746530314091</v>
      </c>
      <c r="P345">
        <f t="shared" si="89"/>
        <v>1.1072021152170373</v>
      </c>
      <c r="Q345">
        <f t="shared" si="92"/>
        <v>28.25737067</v>
      </c>
      <c r="R345">
        <f t="shared" si="93"/>
        <v>145.81348263119114</v>
      </c>
      <c r="S345">
        <f t="shared" si="94"/>
        <v>150.18788711012684</v>
      </c>
      <c r="T345">
        <f t="shared" si="95"/>
        <v>141.43907815225538</v>
      </c>
      <c r="U345">
        <f t="shared" si="96"/>
        <v>4.3744044789357019</v>
      </c>
      <c r="V345">
        <f t="shared" si="97"/>
        <v>4.3744044789357588</v>
      </c>
      <c r="W345">
        <f t="shared" si="98"/>
        <v>4.3744044789357304</v>
      </c>
    </row>
    <row r="346" spans="1:23">
      <c r="B346" s="4">
        <v>4060</v>
      </c>
      <c r="C346" s="7">
        <v>31.399926700000002</v>
      </c>
      <c r="D346" s="7">
        <v>4.5291496139999996</v>
      </c>
      <c r="E346" s="4">
        <f t="shared" si="90"/>
        <v>0.13587448841999999</v>
      </c>
      <c r="H346" s="7">
        <v>0.279466402</v>
      </c>
      <c r="I346" s="7">
        <v>0.32774557700000001</v>
      </c>
      <c r="J346" s="4">
        <f t="shared" si="91"/>
        <v>0.30360598950000001</v>
      </c>
      <c r="K346" s="3">
        <v>190</v>
      </c>
      <c r="L346" s="3">
        <v>10</v>
      </c>
      <c r="M346" s="3">
        <f t="shared" si="87"/>
        <v>5.4054054054054053</v>
      </c>
      <c r="N346" s="3">
        <v>1</v>
      </c>
      <c r="O346">
        <f t="shared" si="86"/>
        <v>0.90317746530314091</v>
      </c>
      <c r="P346">
        <f t="shared" si="89"/>
        <v>1.1072021152170373</v>
      </c>
      <c r="Q346">
        <f t="shared" si="92"/>
        <v>31.399926700000002</v>
      </c>
      <c r="R346">
        <f t="shared" si="93"/>
        <v>157.46071105217456</v>
      </c>
      <c r="S346">
        <f t="shared" si="94"/>
        <v>162.18453238373976</v>
      </c>
      <c r="T346">
        <f t="shared" si="95"/>
        <v>152.73688972060933</v>
      </c>
      <c r="U346">
        <f t="shared" si="96"/>
        <v>4.7238213315652047</v>
      </c>
      <c r="V346">
        <f t="shared" si="97"/>
        <v>4.7238213315652331</v>
      </c>
      <c r="W346">
        <f t="shared" si="98"/>
        <v>4.7238213315652189</v>
      </c>
    </row>
    <row r="347" spans="1:23">
      <c r="B347" s="4">
        <v>4060</v>
      </c>
      <c r="C347" s="7">
        <v>35.578045379999999</v>
      </c>
      <c r="D347" s="7">
        <v>4.4430377070000002</v>
      </c>
      <c r="E347" s="4">
        <f t="shared" si="90"/>
        <v>0.13329113121</v>
      </c>
      <c r="H347" s="7">
        <v>0.46654917400000001</v>
      </c>
      <c r="I347" s="7">
        <v>0.36195212900000001</v>
      </c>
      <c r="J347" s="4">
        <f t="shared" si="91"/>
        <v>0.41425065150000001</v>
      </c>
      <c r="K347" s="3">
        <v>190</v>
      </c>
      <c r="L347" s="3">
        <v>10</v>
      </c>
      <c r="M347" s="3">
        <f t="shared" si="87"/>
        <v>5.4054054054054053</v>
      </c>
      <c r="N347" s="3">
        <v>1</v>
      </c>
      <c r="O347">
        <f t="shared" si="86"/>
        <v>0.90317746530314091</v>
      </c>
      <c r="P347">
        <f t="shared" si="89"/>
        <v>1.1072021152170373</v>
      </c>
      <c r="Q347">
        <f t="shared" si="92"/>
        <v>35.578045379999999</v>
      </c>
      <c r="R347">
        <f t="shared" si="93"/>
        <v>175.02052834283376</v>
      </c>
      <c r="S347">
        <f t="shared" si="94"/>
        <v>180.27114419311877</v>
      </c>
      <c r="T347">
        <f t="shared" si="95"/>
        <v>169.76991249254874</v>
      </c>
      <c r="U347">
        <f t="shared" si="96"/>
        <v>5.2506158502850155</v>
      </c>
      <c r="V347">
        <f t="shared" si="97"/>
        <v>5.2506158502850155</v>
      </c>
      <c r="W347">
        <f t="shared" si="98"/>
        <v>5.2506158502850155</v>
      </c>
    </row>
    <row r="348" spans="1:23">
      <c r="B348" s="4">
        <v>4060</v>
      </c>
      <c r="C348" s="7">
        <v>39.777355129999997</v>
      </c>
      <c r="D348" s="7">
        <v>4.1906401759999996</v>
      </c>
      <c r="E348" s="4">
        <f t="shared" si="90"/>
        <v>0.12571920528</v>
      </c>
      <c r="H348" s="7">
        <v>0.37548021599999998</v>
      </c>
      <c r="I348" s="7">
        <v>0.287087967</v>
      </c>
      <c r="J348" s="4">
        <f t="shared" si="91"/>
        <v>0.33128409149999999</v>
      </c>
      <c r="K348" s="3">
        <v>190</v>
      </c>
      <c r="L348" s="3">
        <v>10</v>
      </c>
      <c r="M348" s="3">
        <f t="shared" si="87"/>
        <v>5.4054054054054053</v>
      </c>
      <c r="N348" s="3">
        <v>1</v>
      </c>
      <c r="O348">
        <f t="shared" si="86"/>
        <v>0.90317746530314091</v>
      </c>
      <c r="P348">
        <f t="shared" si="89"/>
        <v>1.1072021152170373</v>
      </c>
      <c r="Q348">
        <f t="shared" si="92"/>
        <v>39.777355129999997</v>
      </c>
      <c r="R348">
        <f t="shared" si="93"/>
        <v>184.56237993808807</v>
      </c>
      <c r="S348">
        <f t="shared" si="94"/>
        <v>190.09925133623074</v>
      </c>
      <c r="T348">
        <f t="shared" si="95"/>
        <v>179.02550853994543</v>
      </c>
      <c r="U348">
        <f t="shared" si="96"/>
        <v>5.5368713981426652</v>
      </c>
      <c r="V348">
        <f t="shared" si="97"/>
        <v>5.5368713981426367</v>
      </c>
      <c r="W348">
        <f t="shared" si="98"/>
        <v>5.5368713981426509</v>
      </c>
    </row>
    <row r="349" spans="1:23">
      <c r="B349" s="4">
        <v>4060</v>
      </c>
      <c r="C349" s="7">
        <v>43.873780009999997</v>
      </c>
      <c r="D349" s="7">
        <v>4.154827654</v>
      </c>
      <c r="E349" s="4">
        <f t="shared" si="90"/>
        <v>0.12464482961999999</v>
      </c>
      <c r="H349" s="7">
        <v>0.47353676300000003</v>
      </c>
      <c r="I349" s="7">
        <v>0.35217029399999999</v>
      </c>
      <c r="J349" s="4">
        <f t="shared" si="91"/>
        <v>0.41285352850000001</v>
      </c>
      <c r="K349" s="3">
        <v>190</v>
      </c>
      <c r="L349" s="3">
        <v>10</v>
      </c>
      <c r="M349" s="3">
        <f t="shared" si="87"/>
        <v>5.4054054054054053</v>
      </c>
      <c r="N349" s="3">
        <v>1</v>
      </c>
      <c r="O349">
        <f t="shared" si="86"/>
        <v>0.90317746530314091</v>
      </c>
      <c r="P349">
        <f t="shared" si="89"/>
        <v>1.1072021152170373</v>
      </c>
      <c r="Q349">
        <f t="shared" si="92"/>
        <v>43.873780009999997</v>
      </c>
      <c r="R349">
        <f t="shared" si="93"/>
        <v>201.82965305702965</v>
      </c>
      <c r="S349">
        <f t="shared" si="94"/>
        <v>207.88454264874053</v>
      </c>
      <c r="T349">
        <f t="shared" si="95"/>
        <v>195.77476346531873</v>
      </c>
      <c r="U349">
        <f t="shared" si="96"/>
        <v>6.0548895917108894</v>
      </c>
      <c r="V349">
        <f t="shared" si="97"/>
        <v>6.0548895917109178</v>
      </c>
      <c r="W349">
        <f t="shared" si="98"/>
        <v>6.0548895917109036</v>
      </c>
    </row>
    <row r="350" spans="1:23">
      <c r="B350" s="4">
        <v>4060</v>
      </c>
      <c r="C350" s="7">
        <v>49.723083209999999</v>
      </c>
      <c r="D350" s="7">
        <v>3.951498087</v>
      </c>
      <c r="E350" s="4">
        <f t="shared" si="90"/>
        <v>0.11854494261</v>
      </c>
      <c r="H350" s="7">
        <v>0.372884508</v>
      </c>
      <c r="I350" s="7">
        <v>0.299861143</v>
      </c>
      <c r="J350" s="4">
        <f t="shared" si="91"/>
        <v>0.33637282550000003</v>
      </c>
      <c r="K350" s="3">
        <v>190</v>
      </c>
      <c r="L350" s="3">
        <v>10</v>
      </c>
      <c r="M350" s="3">
        <f t="shared" si="87"/>
        <v>5.4054054054054053</v>
      </c>
      <c r="N350" s="3">
        <v>1</v>
      </c>
      <c r="O350">
        <f t="shared" si="86"/>
        <v>0.90317746530314091</v>
      </c>
      <c r="P350">
        <f t="shared" si="89"/>
        <v>1.1072021152170373</v>
      </c>
      <c r="Q350">
        <f t="shared" si="92"/>
        <v>49.723083209999999</v>
      </c>
      <c r="R350">
        <f t="shared" si="93"/>
        <v>217.54381141264454</v>
      </c>
      <c r="S350">
        <f t="shared" si="94"/>
        <v>224.07012575502389</v>
      </c>
      <c r="T350">
        <f t="shared" si="95"/>
        <v>211.01749707026522</v>
      </c>
      <c r="U350">
        <f t="shared" si="96"/>
        <v>6.5263143423793508</v>
      </c>
      <c r="V350">
        <f t="shared" si="97"/>
        <v>6.5263143423793224</v>
      </c>
      <c r="W350">
        <f t="shared" si="98"/>
        <v>6.5263143423793366</v>
      </c>
    </row>
    <row r="351" spans="1:23">
      <c r="B351" s="4">
        <v>4060</v>
      </c>
      <c r="C351" s="8">
        <v>56.5</v>
      </c>
      <c r="D351" s="8">
        <v>3.8505474450000001</v>
      </c>
      <c r="E351" s="4">
        <f t="shared" si="90"/>
        <v>0.11551642334999999</v>
      </c>
      <c r="H351" s="7">
        <v>0</v>
      </c>
      <c r="I351" s="7">
        <v>0</v>
      </c>
      <c r="J351" s="4">
        <f t="shared" si="91"/>
        <v>0</v>
      </c>
      <c r="K351" s="3">
        <v>190</v>
      </c>
      <c r="L351" s="3">
        <v>10</v>
      </c>
      <c r="M351" s="3">
        <f t="shared" si="87"/>
        <v>5.4054054054054053</v>
      </c>
      <c r="N351" s="3">
        <v>1</v>
      </c>
      <c r="O351">
        <f t="shared" ref="O351:O354" si="99">-0.03754*M351^2+0.5266*M351-0.84645</f>
        <v>0.90317746530314091</v>
      </c>
      <c r="P351">
        <v>1.06</v>
      </c>
      <c r="Q351">
        <f t="shared" si="92"/>
        <v>56.5</v>
      </c>
      <c r="R351" s="17">
        <v>230.6092865</v>
      </c>
      <c r="S351">
        <f t="shared" si="94"/>
        <v>237.5275650754815</v>
      </c>
      <c r="T351">
        <f t="shared" si="95"/>
        <v>223.69100788661851</v>
      </c>
      <c r="U351">
        <f t="shared" si="96"/>
        <v>6.9182785754815086</v>
      </c>
      <c r="V351">
        <f t="shared" si="97"/>
        <v>6.9182786133814886</v>
      </c>
      <c r="W351">
        <f t="shared" si="98"/>
        <v>6.9182785944314986</v>
      </c>
    </row>
    <row r="352" spans="1:23">
      <c r="B352" s="4">
        <v>4060</v>
      </c>
      <c r="C352" s="7">
        <v>57.528399149999998</v>
      </c>
      <c r="D352" s="7">
        <v>3.6702711460000002</v>
      </c>
      <c r="E352" s="4">
        <f t="shared" si="90"/>
        <v>0.11010813438</v>
      </c>
      <c r="H352" s="7">
        <v>0.51272702699999995</v>
      </c>
      <c r="I352" s="7">
        <v>0.391205686</v>
      </c>
      <c r="J352" s="4">
        <f t="shared" si="91"/>
        <v>0.45196635649999994</v>
      </c>
      <c r="K352" s="3">
        <v>190</v>
      </c>
      <c r="L352" s="3">
        <v>10</v>
      </c>
      <c r="M352" s="3">
        <f t="shared" si="87"/>
        <v>5.4054054054054053</v>
      </c>
      <c r="N352" s="3">
        <v>1</v>
      </c>
      <c r="O352">
        <f t="shared" si="99"/>
        <v>0.90317746530314091</v>
      </c>
      <c r="P352">
        <f t="shared" si="89"/>
        <v>1.1072021152170373</v>
      </c>
      <c r="Q352">
        <f t="shared" si="92"/>
        <v>57.528399149999998</v>
      </c>
      <c r="R352">
        <f t="shared" si="93"/>
        <v>233.77999516955134</v>
      </c>
      <c r="S352">
        <f t="shared" si="94"/>
        <v>240.79339502463787</v>
      </c>
      <c r="T352">
        <f t="shared" si="95"/>
        <v>226.76659531446481</v>
      </c>
      <c r="U352">
        <f t="shared" si="96"/>
        <v>7.0133998550865329</v>
      </c>
      <c r="V352">
        <f t="shared" si="97"/>
        <v>7.0133998550865329</v>
      </c>
      <c r="W352">
        <f t="shared" si="98"/>
        <v>7.0133998550865329</v>
      </c>
    </row>
    <row r="353" spans="1:23">
      <c r="B353" s="4">
        <v>4060</v>
      </c>
      <c r="C353" s="7">
        <v>65.038876009999996</v>
      </c>
      <c r="D353" s="7">
        <v>3.5659327269999999</v>
      </c>
      <c r="E353" s="4">
        <f t="shared" si="90"/>
        <v>0.10697798181</v>
      </c>
      <c r="H353" s="7">
        <v>0.50212869199999999</v>
      </c>
      <c r="I353" s="7">
        <v>0.37382011599999998</v>
      </c>
      <c r="J353" s="4">
        <f t="shared" si="91"/>
        <v>0.43797440399999998</v>
      </c>
      <c r="K353" s="3">
        <v>190</v>
      </c>
      <c r="L353" s="3">
        <v>10</v>
      </c>
      <c r="M353" s="3">
        <f t="shared" si="87"/>
        <v>5.4054054054054053</v>
      </c>
      <c r="N353" s="3">
        <v>1</v>
      </c>
      <c r="O353">
        <f t="shared" si="99"/>
        <v>0.90317746530314091</v>
      </c>
      <c r="P353">
        <f t="shared" si="89"/>
        <v>1.1072021152170373</v>
      </c>
      <c r="Q353">
        <f t="shared" si="92"/>
        <v>65.038876009999996</v>
      </c>
      <c r="R353">
        <f t="shared" si="93"/>
        <v>256.78702735736601</v>
      </c>
      <c r="S353">
        <f t="shared" si="94"/>
        <v>264.49063817808701</v>
      </c>
      <c r="T353">
        <f t="shared" si="95"/>
        <v>249.08341653664502</v>
      </c>
      <c r="U353">
        <f t="shared" si="96"/>
        <v>7.7036108207209963</v>
      </c>
      <c r="V353">
        <f t="shared" si="97"/>
        <v>7.7036108207209963</v>
      </c>
      <c r="W353">
        <f t="shared" si="98"/>
        <v>7.7036108207209963</v>
      </c>
    </row>
    <row r="354" spans="1:23">
      <c r="B354" s="4">
        <v>4060</v>
      </c>
      <c r="C354" s="7">
        <v>75.760874119999997</v>
      </c>
      <c r="D354" s="7">
        <v>3.2266333180000002</v>
      </c>
      <c r="E354" s="4">
        <f t="shared" si="90"/>
        <v>9.679899954E-2</v>
      </c>
      <c r="H354" s="7">
        <v>0.44429166599999997</v>
      </c>
      <c r="I354" s="7">
        <v>0.32653861699999998</v>
      </c>
      <c r="J354" s="4">
        <f t="shared" si="91"/>
        <v>0.3854151415</v>
      </c>
      <c r="K354" s="3">
        <v>190</v>
      </c>
      <c r="L354" s="3">
        <v>10</v>
      </c>
      <c r="M354" s="3">
        <f t="shared" si="87"/>
        <v>5.4054054054054053</v>
      </c>
      <c r="N354" s="3">
        <v>1</v>
      </c>
      <c r="O354">
        <f t="shared" si="99"/>
        <v>0.90317746530314091</v>
      </c>
      <c r="P354">
        <f t="shared" si="89"/>
        <v>1.1072021152170373</v>
      </c>
      <c r="Q354">
        <f t="shared" si="92"/>
        <v>75.760874119999997</v>
      </c>
      <c r="R354">
        <f t="shared" si="93"/>
        <v>270.65839220683864</v>
      </c>
      <c r="S354">
        <f t="shared" si="94"/>
        <v>278.77814397304377</v>
      </c>
      <c r="T354">
        <f t="shared" si="95"/>
        <v>262.53864044063351</v>
      </c>
      <c r="U354">
        <f t="shared" si="96"/>
        <v>8.1197517662051268</v>
      </c>
      <c r="V354">
        <f t="shared" si="97"/>
        <v>8.1197517662051268</v>
      </c>
      <c r="W354">
        <f t="shared" si="98"/>
        <v>8.1197517662051268</v>
      </c>
    </row>
    <row r="355" spans="1:23" s="33" customFormat="1">
      <c r="A355" s="9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23" s="33" customFormat="1">
      <c r="A356" s="9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</sheetData>
  <hyperlinks>
    <hyperlink ref="A29" r:id="rId1" xr:uid="{00000000-0004-0000-0000-000000000000}"/>
    <hyperlink ref="A3" r:id="rId2" xr:uid="{00000000-0004-0000-0000-000001000000}"/>
    <hyperlink ref="A38" r:id="rId3" xr:uid="{00000000-0004-0000-0000-000002000000}"/>
    <hyperlink ref="A71" r:id="rId4" xr:uid="{00000000-0004-0000-0000-000003000000}"/>
    <hyperlink ref="A72" r:id="rId5" display="10.1103/PhysRevLett.97.081302" xr:uid="{00000000-0004-0000-0000-000004000000}"/>
    <hyperlink ref="A45" r:id="rId6" xr:uid="{00000000-0004-0000-0000-000005000000}"/>
    <hyperlink ref="A112" r:id="rId7" xr:uid="{00000000-0004-0000-0000-000006000000}"/>
    <hyperlink ref="A131" r:id="rId8" xr:uid="{00000000-0004-0000-0000-000007000000}"/>
    <hyperlink ref="A138" r:id="rId9" xr:uid="{00000000-0004-0000-0000-000008000000}"/>
    <hyperlink ref="A154" r:id="rId10" xr:uid="{00000000-0004-0000-0000-000009000000}"/>
    <hyperlink ref="A145" r:id="rId11" xr:uid="{00000000-0004-0000-0000-00000A000000}"/>
    <hyperlink ref="A155" r:id="rId12" xr:uid="{00000000-0004-0000-0000-00000B000000}"/>
    <hyperlink ref="A163" r:id="rId13" xr:uid="{00000000-0004-0000-0000-00000C000000}"/>
    <hyperlink ref="A182" r:id="rId14" xr:uid="{00000000-0004-0000-0000-00000D000000}"/>
    <hyperlink ref="A337" r:id="rId15" xr:uid="{00000000-0004-0000-0000-00000E000000}"/>
    <hyperlink ref="A195" r:id="rId16" xr:uid="{00000000-0004-0000-0000-00000F000000}"/>
    <hyperlink ref="A333" r:id="rId17" xr:uid="{00000000-0004-0000-0000-000010000000}"/>
    <hyperlink ref="A30" r:id="rId18" display="10.1103/PhysRevLett.97.081302" xr:uid="{00000000-0004-0000-0000-000011000000}"/>
    <hyperlink ref="A214" r:id="rId19" xr:uid="{00000000-0004-0000-0000-000012000000}"/>
    <hyperlink ref="A215" r:id="rId20" display="10.1103/PhysRevLett.97.081302" xr:uid="{00000000-0004-0000-0000-000013000000}"/>
    <hyperlink ref="A224" r:id="rId21" xr:uid="{00000000-0004-0000-0000-000014000000}"/>
    <hyperlink ref="A225" r:id="rId22" display="10.1103/PhysRevLett.97.081302" xr:uid="{00000000-0004-0000-0000-000015000000}"/>
    <hyperlink ref="A233" r:id="rId23" xr:uid="{00000000-0004-0000-0000-000016000000}"/>
    <hyperlink ref="A283" r:id="rId24" xr:uid="{00000000-0004-0000-0000-000017000000}"/>
    <hyperlink ref="A57" r:id="rId25" xr:uid="{00000000-0004-0000-0000-000018000000}"/>
    <hyperlink ref="A108" r:id="rId26" xr:uid="{00000000-0004-0000-0000-000019000000}"/>
    <hyperlink ref="A191" r:id="rId27" xr:uid="{00000000-0004-0000-0000-00001A000000}"/>
    <hyperlink ref="A22" r:id="rId28" xr:uid="{00000000-0004-0000-0000-00001B000000}"/>
  </hyperlinks>
  <pageMargins left="0.75" right="0.75" top="1" bottom="1" header="0.5" footer="0.5"/>
  <pageSetup orientation="portrait" horizontalDpi="4294967292" verticalDpi="4294967292"/>
  <drawing r:id="rId2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topLeftCell="A34" workbookViewId="0">
      <selection activeCell="F19" sqref="F19"/>
    </sheetView>
  </sheetViews>
  <sheetFormatPr baseColWidth="10" defaultRowHeight="16"/>
  <cols>
    <col min="1" max="1" width="10.83203125" style="35"/>
  </cols>
  <sheetData>
    <row r="1" spans="1:9">
      <c r="A1" s="35" t="s">
        <v>82</v>
      </c>
      <c r="B1" s="4" t="s">
        <v>1</v>
      </c>
      <c r="C1" s="4" t="s">
        <v>41</v>
      </c>
      <c r="D1" s="4" t="s">
        <v>3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17</v>
      </c>
    </row>
    <row r="2" spans="1:9">
      <c r="A2" s="35" t="s">
        <v>47</v>
      </c>
      <c r="B2" s="36">
        <v>4.7747000000000002</v>
      </c>
      <c r="C2" s="36">
        <v>0.34051999999999999</v>
      </c>
      <c r="D2" s="37">
        <f>(E2+F2)/2</f>
        <v>0.14244499999999999</v>
      </c>
      <c r="E2">
        <v>0.14423</v>
      </c>
      <c r="F2">
        <v>0.14066000000000001</v>
      </c>
      <c r="G2">
        <v>1.9762999999999999</v>
      </c>
      <c r="H2">
        <v>1.9469000000000001</v>
      </c>
      <c r="I2">
        <f>(G2+H2)/2</f>
        <v>1.9616</v>
      </c>
    </row>
    <row r="3" spans="1:9">
      <c r="B3" s="38">
        <v>7.7755000000000001</v>
      </c>
      <c r="C3" s="38">
        <v>0.23243</v>
      </c>
      <c r="D3" s="37">
        <f t="shared" ref="D3:D14" si="0">(E3+F3)/2</f>
        <v>6.5905000000000005E-2</v>
      </c>
      <c r="E3">
        <v>6.6890000000000005E-2</v>
      </c>
      <c r="F3">
        <v>6.4920000000000005E-2</v>
      </c>
      <c r="G3">
        <v>2.1968999999999999</v>
      </c>
      <c r="H3">
        <v>2.2841999999999998</v>
      </c>
      <c r="I3">
        <f t="shared" ref="I3:I36" si="1">(G3+H3)/2</f>
        <v>2.2405499999999998</v>
      </c>
    </row>
    <row r="4" spans="1:9">
      <c r="B4" s="38">
        <v>10.759</v>
      </c>
      <c r="C4" s="38">
        <v>0.20004</v>
      </c>
      <c r="D4" s="37">
        <f t="shared" si="0"/>
        <v>4.8195000000000002E-2</v>
      </c>
      <c r="E4">
        <v>4.9180000000000001E-2</v>
      </c>
      <c r="F4">
        <v>4.7210000000000002E-2</v>
      </c>
      <c r="G4">
        <v>2.5785</v>
      </c>
      <c r="H4">
        <v>2.5941999999999998</v>
      </c>
      <c r="I4">
        <f t="shared" si="1"/>
        <v>2.5863499999999999</v>
      </c>
    </row>
    <row r="5" spans="1:9">
      <c r="B5" s="38">
        <v>19.465</v>
      </c>
      <c r="C5" s="38">
        <v>0.19328000000000001</v>
      </c>
      <c r="D5" s="37">
        <f t="shared" si="0"/>
        <v>4.4260000000000001E-2</v>
      </c>
      <c r="E5">
        <v>4.4260000000000001E-2</v>
      </c>
      <c r="F5">
        <v>4.4260000000000001E-2</v>
      </c>
      <c r="G5">
        <v>4.1590999999999996</v>
      </c>
      <c r="H5">
        <v>4.2888000000000002</v>
      </c>
      <c r="I5">
        <f t="shared" si="1"/>
        <v>4.2239500000000003</v>
      </c>
    </row>
    <row r="6" spans="1:9">
      <c r="B6" s="38">
        <v>27.439</v>
      </c>
      <c r="C6" s="38">
        <v>0.17466000000000001</v>
      </c>
      <c r="D6" s="37">
        <f t="shared" si="0"/>
        <v>2.9019999999999997E-2</v>
      </c>
      <c r="E6">
        <v>3.0499999999999999E-2</v>
      </c>
      <c r="F6">
        <v>2.7539999999999999E-2</v>
      </c>
      <c r="G6">
        <v>4.5660999999999996</v>
      </c>
      <c r="H6">
        <v>4.9432</v>
      </c>
      <c r="I6">
        <f t="shared" si="1"/>
        <v>4.7546499999999998</v>
      </c>
    </row>
    <row r="7" spans="1:9">
      <c r="B7" s="38">
        <v>32.89</v>
      </c>
      <c r="C7" s="38">
        <v>0.14815</v>
      </c>
      <c r="D7" s="37">
        <f t="shared" si="0"/>
        <v>2.4590000000000001E-2</v>
      </c>
      <c r="E7">
        <v>2.5569999999999999E-2</v>
      </c>
      <c r="F7">
        <v>2.3609999999999999E-2</v>
      </c>
      <c r="G7">
        <v>5.4843000000000002</v>
      </c>
      <c r="H7">
        <v>5.6162999999999998</v>
      </c>
      <c r="I7">
        <f t="shared" si="1"/>
        <v>5.5503</v>
      </c>
    </row>
    <row r="8" spans="1:9">
      <c r="B8" s="38">
        <v>40.902000000000001</v>
      </c>
      <c r="C8" s="38">
        <v>0.19344</v>
      </c>
      <c r="D8" s="37">
        <f t="shared" si="0"/>
        <v>2.3605000000000001E-2</v>
      </c>
      <c r="E8">
        <v>2.4590000000000001E-2</v>
      </c>
      <c r="F8">
        <v>2.2620000000000001E-2</v>
      </c>
      <c r="G8">
        <v>4.7771999999999997</v>
      </c>
      <c r="H8">
        <v>4.6516000000000002</v>
      </c>
      <c r="I8">
        <f t="shared" si="1"/>
        <v>4.7143999999999995</v>
      </c>
    </row>
    <row r="9" spans="1:9">
      <c r="B9" s="38">
        <v>53.832000000000001</v>
      </c>
      <c r="C9" s="38">
        <v>0.17677999999999999</v>
      </c>
      <c r="D9" s="37">
        <f t="shared" si="0"/>
        <v>2.1150000000000002E-2</v>
      </c>
      <c r="E9">
        <v>2.2620000000000001E-2</v>
      </c>
      <c r="F9">
        <v>1.968E-2</v>
      </c>
      <c r="G9">
        <v>6.2885</v>
      </c>
      <c r="H9">
        <v>6.6220999999999997</v>
      </c>
      <c r="I9">
        <f t="shared" si="1"/>
        <v>6.4552999999999994</v>
      </c>
    </row>
    <row r="10" spans="1:9">
      <c r="B10" s="38">
        <v>58.012999999999998</v>
      </c>
      <c r="C10" s="38">
        <v>0.18761</v>
      </c>
      <c r="D10" s="37">
        <f t="shared" si="0"/>
        <v>1.2710000000000001E-2</v>
      </c>
      <c r="E10">
        <v>1.2710000000000001E-2</v>
      </c>
      <c r="F10">
        <v>1.2710000000000001E-2</v>
      </c>
      <c r="G10">
        <v>4.6120999999999999</v>
      </c>
      <c r="H10">
        <v>5.0126999999999997</v>
      </c>
      <c r="I10">
        <f t="shared" si="1"/>
        <v>4.8124000000000002</v>
      </c>
    </row>
    <row r="11" spans="1:9">
      <c r="B11" s="38">
        <v>73.55</v>
      </c>
      <c r="C11" s="38">
        <v>0.16602</v>
      </c>
      <c r="D11" s="37">
        <f t="shared" si="0"/>
        <v>1.9064999999999999E-2</v>
      </c>
      <c r="E11">
        <v>1.9560000000000001E-2</v>
      </c>
      <c r="F11">
        <v>1.857E-2</v>
      </c>
      <c r="G11">
        <v>8.0204000000000004</v>
      </c>
      <c r="H11">
        <v>9.6972000000000005</v>
      </c>
      <c r="I11">
        <f t="shared" si="1"/>
        <v>8.8588000000000005</v>
      </c>
    </row>
    <row r="12" spans="1:9">
      <c r="B12" s="38">
        <v>88.676000000000002</v>
      </c>
      <c r="C12" s="38">
        <v>0.18770000000000001</v>
      </c>
      <c r="D12" s="37">
        <f t="shared" si="0"/>
        <v>1.2710000000000001E-2</v>
      </c>
      <c r="E12">
        <v>1.2710000000000001E-2</v>
      </c>
      <c r="F12">
        <v>1.2710000000000001E-2</v>
      </c>
      <c r="G12">
        <v>5.6890999999999998</v>
      </c>
      <c r="H12">
        <v>5.2986000000000004</v>
      </c>
      <c r="I12">
        <f t="shared" si="1"/>
        <v>5.4938500000000001</v>
      </c>
    </row>
    <row r="13" spans="1:9">
      <c r="B13" s="38">
        <v>106.25</v>
      </c>
      <c r="C13" s="38">
        <v>0.20250000000000001</v>
      </c>
      <c r="D13" s="37">
        <f t="shared" si="0"/>
        <v>1.2710000000000001E-2</v>
      </c>
      <c r="E13">
        <v>1.2710000000000001E-2</v>
      </c>
      <c r="F13">
        <v>1.2710000000000001E-2</v>
      </c>
      <c r="G13">
        <v>5.9044999999999996</v>
      </c>
      <c r="H13">
        <v>7.1833</v>
      </c>
      <c r="I13">
        <f t="shared" si="1"/>
        <v>6.5438999999999998</v>
      </c>
    </row>
    <row r="14" spans="1:9">
      <c r="B14" s="38">
        <v>141.57</v>
      </c>
      <c r="C14" s="38">
        <v>0.20846000000000001</v>
      </c>
      <c r="D14" s="37">
        <f t="shared" si="0"/>
        <v>9.7800000000000005E-3</v>
      </c>
      <c r="E14">
        <v>9.7800000000000005E-3</v>
      </c>
      <c r="F14">
        <v>9.7800000000000005E-3</v>
      </c>
      <c r="G14">
        <v>6.8589000000000002</v>
      </c>
      <c r="H14">
        <v>7.2103000000000002</v>
      </c>
      <c r="I14">
        <f t="shared" si="1"/>
        <v>7.0346000000000002</v>
      </c>
    </row>
    <row r="15" spans="1:9">
      <c r="A15" s="35" t="s">
        <v>48</v>
      </c>
      <c r="B15" s="39">
        <v>46.927999999999997</v>
      </c>
      <c r="C15" s="39">
        <v>0.17477999999999999</v>
      </c>
      <c r="D15" s="39">
        <v>2.9505E-2</v>
      </c>
      <c r="G15">
        <v>3.9253</v>
      </c>
      <c r="H15">
        <v>3.6488999999999998</v>
      </c>
      <c r="I15">
        <f t="shared" si="1"/>
        <v>3.7870999999999997</v>
      </c>
    </row>
    <row r="16" spans="1:9">
      <c r="B16" s="39">
        <v>59.856999999999999</v>
      </c>
      <c r="C16" s="39">
        <v>0.17582</v>
      </c>
      <c r="D16" s="39">
        <v>2.9505E-2</v>
      </c>
      <c r="G16">
        <v>4.3183999999999996</v>
      </c>
      <c r="H16">
        <v>3.8540999999999999</v>
      </c>
      <c r="I16">
        <f t="shared" si="1"/>
        <v>4.0862499999999997</v>
      </c>
    </row>
    <row r="17" spans="1:9">
      <c r="B17" s="39">
        <v>69.962000000000003</v>
      </c>
      <c r="C17" s="39">
        <v>0.17782000000000001</v>
      </c>
      <c r="D17" s="39">
        <v>0.03</v>
      </c>
      <c r="G17">
        <v>4.2321999999999997</v>
      </c>
      <c r="H17">
        <v>3.5811999999999999</v>
      </c>
      <c r="I17">
        <f t="shared" si="1"/>
        <v>3.9066999999999998</v>
      </c>
    </row>
    <row r="18" spans="1:9">
      <c r="B18" s="39">
        <v>71.736000000000004</v>
      </c>
      <c r="C18" s="39">
        <v>0.16797999999999999</v>
      </c>
      <c r="D18" s="39">
        <v>2.9505E-2</v>
      </c>
      <c r="G18">
        <v>3.9177</v>
      </c>
      <c r="H18">
        <v>3.6714000000000002</v>
      </c>
      <c r="I18">
        <f t="shared" si="1"/>
        <v>3.7945500000000001</v>
      </c>
    </row>
    <row r="19" spans="1:9">
      <c r="B19" s="39">
        <v>89.787000000000006</v>
      </c>
      <c r="C19" s="39">
        <v>0.19066</v>
      </c>
      <c r="D19" s="39">
        <v>2.9505E-2</v>
      </c>
      <c r="G19">
        <v>4.3714000000000004</v>
      </c>
      <c r="H19">
        <v>4.008</v>
      </c>
      <c r="I19">
        <f t="shared" si="1"/>
        <v>4.1897000000000002</v>
      </c>
    </row>
    <row r="20" spans="1:9">
      <c r="B20" s="39">
        <v>108.26</v>
      </c>
      <c r="C20" s="39">
        <v>0.20053000000000001</v>
      </c>
      <c r="D20" s="39">
        <v>2.9510000000000002E-2</v>
      </c>
      <c r="G20">
        <v>3.3266</v>
      </c>
      <c r="H20">
        <v>4.1283000000000003</v>
      </c>
      <c r="I20">
        <f t="shared" si="1"/>
        <v>3.7274500000000002</v>
      </c>
    </row>
    <row r="21" spans="1:9">
      <c r="A21" s="35" t="s">
        <v>49</v>
      </c>
      <c r="B21" s="5">
        <v>42.743000000000002</v>
      </c>
      <c r="C21" s="5">
        <v>0.15115000000000001</v>
      </c>
      <c r="D21" s="5">
        <v>6.9834999999999994E-2</v>
      </c>
      <c r="G21">
        <v>2.8351999999999999</v>
      </c>
      <c r="H21">
        <v>3.0369999999999999</v>
      </c>
      <c r="I21">
        <f t="shared" si="1"/>
        <v>2.9360999999999997</v>
      </c>
    </row>
    <row r="22" spans="1:9">
      <c r="B22" s="5">
        <v>43.271999999999998</v>
      </c>
      <c r="C22" s="5">
        <v>0.17377999999999999</v>
      </c>
      <c r="D22" s="5">
        <v>8.8525000000000006E-2</v>
      </c>
      <c r="G22">
        <v>3.1023999999999998</v>
      </c>
      <c r="H22">
        <v>3.9257</v>
      </c>
      <c r="I22">
        <f t="shared" si="1"/>
        <v>3.5140500000000001</v>
      </c>
    </row>
    <row r="23" spans="1:9">
      <c r="B23" s="5">
        <v>53.853000000000002</v>
      </c>
      <c r="C23" s="5">
        <v>0.13153000000000001</v>
      </c>
      <c r="D23" s="5">
        <v>7.0819999999999994E-2</v>
      </c>
      <c r="G23">
        <v>2.9411</v>
      </c>
      <c r="H23">
        <v>2.7566000000000002</v>
      </c>
      <c r="I23">
        <f t="shared" si="1"/>
        <v>2.8488500000000001</v>
      </c>
    </row>
    <row r="24" spans="1:9">
      <c r="B24" s="5">
        <v>54.475000000000001</v>
      </c>
      <c r="C24" s="5">
        <v>0.24858</v>
      </c>
      <c r="D24" s="5">
        <v>4.4260000000000001E-2</v>
      </c>
      <c r="G24">
        <v>3.2749000000000001</v>
      </c>
      <c r="H24">
        <v>3.4857</v>
      </c>
      <c r="I24">
        <f t="shared" si="1"/>
        <v>3.3803000000000001</v>
      </c>
    </row>
    <row r="25" spans="1:9">
      <c r="B25" s="5">
        <v>63.686999999999998</v>
      </c>
      <c r="C25" s="5">
        <v>0.22106999999999999</v>
      </c>
      <c r="D25" s="5">
        <v>2.0164999999999999E-2</v>
      </c>
      <c r="G25">
        <v>2.8435000000000001</v>
      </c>
      <c r="H25">
        <v>2.8435000000000001</v>
      </c>
      <c r="I25">
        <f t="shared" si="1"/>
        <v>2.8435000000000001</v>
      </c>
    </row>
    <row r="26" spans="1:9">
      <c r="B26" s="5">
        <v>64.08</v>
      </c>
      <c r="C26" s="5">
        <v>0.22993</v>
      </c>
      <c r="D26" s="5">
        <v>1.9179999999999999E-2</v>
      </c>
      <c r="G26">
        <v>2.3542999999999998</v>
      </c>
      <c r="H26">
        <v>3.7018</v>
      </c>
      <c r="I26">
        <f t="shared" si="1"/>
        <v>3.0280499999999999</v>
      </c>
    </row>
    <row r="27" spans="1:9">
      <c r="A27" s="35" t="s">
        <v>21</v>
      </c>
      <c r="B27" s="40">
        <v>10.37</v>
      </c>
      <c r="C27" s="40">
        <v>0.13216</v>
      </c>
      <c r="D27" s="40">
        <v>1.9179999999999999E-2</v>
      </c>
      <c r="G27">
        <v>1.1016999999999999</v>
      </c>
      <c r="H27">
        <v>1.0889</v>
      </c>
      <c r="I27">
        <f t="shared" si="1"/>
        <v>1.0952999999999999</v>
      </c>
    </row>
    <row r="28" spans="1:9">
      <c r="B28" s="40">
        <v>15.456</v>
      </c>
      <c r="C28" s="40">
        <v>0.16175999999999999</v>
      </c>
      <c r="D28" s="40">
        <v>2.0655E-2</v>
      </c>
      <c r="G28">
        <v>0.94071000000000005</v>
      </c>
      <c r="H28">
        <v>0.89871000000000001</v>
      </c>
      <c r="I28">
        <f t="shared" si="1"/>
        <v>0.91971000000000003</v>
      </c>
    </row>
    <row r="29" spans="1:9">
      <c r="B29" s="40">
        <v>25.46</v>
      </c>
      <c r="C29" s="40">
        <v>0.17169999999999999</v>
      </c>
      <c r="D29" s="40">
        <v>2.0655E-2</v>
      </c>
      <c r="G29">
        <v>0.47197</v>
      </c>
      <c r="H29">
        <v>0.64370000000000005</v>
      </c>
      <c r="I29">
        <f t="shared" si="1"/>
        <v>0.55783500000000008</v>
      </c>
    </row>
    <row r="30" spans="1:9">
      <c r="B30" s="40">
        <v>46.609000000000002</v>
      </c>
      <c r="C30" s="40">
        <v>0.24265</v>
      </c>
      <c r="D30" s="40">
        <v>0.03</v>
      </c>
      <c r="G30">
        <v>0</v>
      </c>
      <c r="H30">
        <v>0</v>
      </c>
      <c r="I30">
        <f t="shared" si="1"/>
        <v>0</v>
      </c>
    </row>
    <row r="31" spans="1:9">
      <c r="B31" s="40">
        <v>52.804000000000002</v>
      </c>
      <c r="C31" s="40">
        <v>0.24168999999999999</v>
      </c>
      <c r="D31" s="40">
        <v>1.7215000000000001E-2</v>
      </c>
      <c r="G31">
        <v>0</v>
      </c>
      <c r="H31">
        <v>0</v>
      </c>
      <c r="I31">
        <f t="shared" si="1"/>
        <v>0</v>
      </c>
    </row>
    <row r="32" spans="1:9">
      <c r="B32" s="40">
        <v>56.209000000000003</v>
      </c>
      <c r="C32" s="40">
        <v>0.23186999999999999</v>
      </c>
      <c r="D32" s="40">
        <v>1.5245E-2</v>
      </c>
      <c r="G32">
        <v>0</v>
      </c>
      <c r="H32">
        <v>0</v>
      </c>
      <c r="I32">
        <f t="shared" si="1"/>
        <v>0</v>
      </c>
    </row>
    <row r="33" spans="1:9">
      <c r="A33" s="35" t="s">
        <v>50</v>
      </c>
      <c r="B33" s="41">
        <v>4.9653</v>
      </c>
      <c r="C33" s="41">
        <v>0.14086000000000001</v>
      </c>
      <c r="D33" s="41">
        <v>3.049E-2</v>
      </c>
      <c r="G33">
        <v>0.63697000000000004</v>
      </c>
      <c r="H33">
        <v>0.73060999999999998</v>
      </c>
      <c r="I33">
        <f t="shared" si="1"/>
        <v>0.68379000000000001</v>
      </c>
    </row>
    <row r="34" spans="1:9">
      <c r="B34" s="41">
        <v>7.9785000000000004</v>
      </c>
      <c r="C34" s="41">
        <v>0.13702</v>
      </c>
      <c r="D34" s="41">
        <v>1.5734999999999999E-2</v>
      </c>
      <c r="G34">
        <v>0.89207999999999998</v>
      </c>
      <c r="H34">
        <v>0.94835000000000003</v>
      </c>
      <c r="I34">
        <f t="shared" si="1"/>
        <v>0.92021500000000001</v>
      </c>
    </row>
    <row r="35" spans="1:9">
      <c r="B35" s="41">
        <v>9.9878999999999998</v>
      </c>
      <c r="C35" s="41">
        <v>0.14002000000000001</v>
      </c>
      <c r="D35" s="41">
        <v>1.6230000000000001E-2</v>
      </c>
      <c r="G35">
        <v>1.1165</v>
      </c>
      <c r="H35">
        <v>0.98019999999999996</v>
      </c>
      <c r="I35">
        <f t="shared" si="1"/>
        <v>1.0483500000000001</v>
      </c>
    </row>
    <row r="36" spans="1:9">
      <c r="B36" s="41">
        <v>22.890999999999998</v>
      </c>
      <c r="C36" s="41">
        <v>0.20512</v>
      </c>
      <c r="D36" s="41">
        <v>3.8359999999999998E-2</v>
      </c>
      <c r="G36">
        <v>4.2601000000000004</v>
      </c>
      <c r="H36">
        <v>4.2005999999999997</v>
      </c>
      <c r="I36">
        <f t="shared" si="1"/>
        <v>4.2303499999999996</v>
      </c>
    </row>
    <row r="37" spans="1:9">
      <c r="A37" s="35" t="s">
        <v>51</v>
      </c>
      <c r="B37" s="42">
        <v>3.9</v>
      </c>
      <c r="C37" s="42">
        <v>7.2999999999999995E-2</v>
      </c>
      <c r="D37" s="42">
        <f>(E37+F37)/2</f>
        <v>3.7269999999999998E-2</v>
      </c>
      <c r="E37">
        <v>3.8470999999999998E-2</v>
      </c>
      <c r="F37">
        <v>3.6068999999999997E-2</v>
      </c>
      <c r="I37">
        <v>0.9</v>
      </c>
    </row>
    <row r="38" spans="1:9">
      <c r="B38" s="42">
        <v>4.9000000000000004</v>
      </c>
      <c r="C38" s="42">
        <v>8.7999999999999995E-2</v>
      </c>
      <c r="D38" s="42">
        <f t="shared" ref="D38:D49" si="2">(E38+F38)/2</f>
        <v>3.8088999999999998E-2</v>
      </c>
      <c r="E38">
        <v>3.6769999999999997E-2</v>
      </c>
      <c r="F38">
        <v>3.9407999999999999E-2</v>
      </c>
      <c r="I38">
        <v>0.9</v>
      </c>
    </row>
    <row r="39" spans="1:9">
      <c r="B39" s="42">
        <v>5.7</v>
      </c>
      <c r="C39" s="42">
        <v>7.6999999999999999E-2</v>
      </c>
      <c r="D39" s="42">
        <f t="shared" si="2"/>
        <v>3.6477999999999997E-2</v>
      </c>
      <c r="E39">
        <v>3.8897000000000001E-2</v>
      </c>
      <c r="F39">
        <v>3.4058999999999999E-2</v>
      </c>
      <c r="I39">
        <v>1.1000000000000001</v>
      </c>
    </row>
    <row r="40" spans="1:9">
      <c r="B40" s="42">
        <v>6.4</v>
      </c>
      <c r="C40" s="42">
        <v>9.4E-2</v>
      </c>
      <c r="D40" s="42">
        <f t="shared" si="2"/>
        <v>3.5934500000000001E-2</v>
      </c>
      <c r="E40">
        <v>3.5468E-2</v>
      </c>
      <c r="F40">
        <v>3.6401000000000003E-2</v>
      </c>
      <c r="I40">
        <v>1.1000000000000001</v>
      </c>
    </row>
    <row r="41" spans="1:9">
      <c r="B41" s="42">
        <v>7.6</v>
      </c>
      <c r="C41" s="42">
        <v>0.105</v>
      </c>
      <c r="D41" s="42">
        <f t="shared" si="2"/>
        <v>3.7305500000000005E-2</v>
      </c>
      <c r="E41">
        <v>3.8210000000000001E-2</v>
      </c>
      <c r="F41">
        <v>3.6401000000000003E-2</v>
      </c>
      <c r="I41">
        <v>1.2</v>
      </c>
    </row>
    <row r="42" spans="1:9">
      <c r="B42" s="42">
        <v>9.8000000000000007</v>
      </c>
      <c r="C42" s="42">
        <v>0.11799999999999999</v>
      </c>
      <c r="D42" s="42">
        <f t="shared" si="2"/>
        <v>3.5367999999999997E-2</v>
      </c>
      <c r="E42">
        <v>3.9622999999999998E-2</v>
      </c>
      <c r="F42">
        <v>3.1112999999999998E-2</v>
      </c>
      <c r="I42">
        <v>1.3</v>
      </c>
    </row>
    <row r="43" spans="1:9">
      <c r="B43" s="42">
        <v>15.1</v>
      </c>
      <c r="C43" s="42">
        <v>0.123</v>
      </c>
      <c r="D43" s="42">
        <f t="shared" si="2"/>
        <v>3.12185E-2</v>
      </c>
      <c r="E43">
        <v>3.5511000000000001E-2</v>
      </c>
      <c r="F43">
        <v>2.6925999999999999E-2</v>
      </c>
      <c r="I43">
        <v>1.5</v>
      </c>
    </row>
    <row r="44" spans="1:9">
      <c r="B44" s="42">
        <v>19.600000000000001</v>
      </c>
      <c r="C44" s="42">
        <v>0.157</v>
      </c>
      <c r="D44" s="42">
        <f t="shared" si="2"/>
        <v>4.3698000000000001E-2</v>
      </c>
      <c r="E44">
        <v>4.6690000000000002E-2</v>
      </c>
      <c r="F44">
        <v>4.0705999999999999E-2</v>
      </c>
      <c r="I44">
        <v>2.6</v>
      </c>
    </row>
    <row r="45" spans="1:9">
      <c r="B45" s="42">
        <v>25.7</v>
      </c>
      <c r="C45" s="42">
        <v>0.13200000000000001</v>
      </c>
      <c r="D45" s="42">
        <f t="shared" si="2"/>
        <v>2.2472499999999999E-2</v>
      </c>
      <c r="E45">
        <v>2.5020000000000001E-2</v>
      </c>
      <c r="F45">
        <v>1.9924999999999998E-2</v>
      </c>
      <c r="I45">
        <v>2</v>
      </c>
    </row>
    <row r="46" spans="1:9">
      <c r="B46" s="42">
        <v>34.9</v>
      </c>
      <c r="C46" s="42">
        <v>0.13300000000000001</v>
      </c>
      <c r="D46" s="42">
        <f t="shared" si="2"/>
        <v>3.7828500000000001E-2</v>
      </c>
      <c r="E46">
        <v>4.4271999999999999E-2</v>
      </c>
      <c r="F46">
        <v>3.1385000000000003E-2</v>
      </c>
      <c r="I46">
        <v>2.1</v>
      </c>
    </row>
    <row r="47" spans="1:9">
      <c r="B47" s="42">
        <v>46.1</v>
      </c>
      <c r="C47" s="42">
        <v>0.158</v>
      </c>
      <c r="D47" s="42">
        <f t="shared" si="2"/>
        <v>3.96595E-2</v>
      </c>
      <c r="E47">
        <v>3.9294000000000003E-2</v>
      </c>
      <c r="F47">
        <v>4.0024999999999998E-2</v>
      </c>
      <c r="I47">
        <v>4.9000000000000004</v>
      </c>
    </row>
    <row r="48" spans="1:9">
      <c r="B48" s="42">
        <v>57.7</v>
      </c>
      <c r="C48" s="42">
        <v>0.182</v>
      </c>
      <c r="D48" s="42">
        <f t="shared" si="2"/>
        <v>9.4255500000000013E-3</v>
      </c>
      <c r="E48">
        <v>9.8489000000000007E-3</v>
      </c>
      <c r="F48">
        <v>9.0022000000000001E-3</v>
      </c>
      <c r="I48">
        <v>3.2</v>
      </c>
    </row>
    <row r="49" spans="1:11">
      <c r="B49" s="42">
        <v>66.7</v>
      </c>
      <c r="C49" s="42">
        <v>0.17799999999999999</v>
      </c>
      <c r="D49" s="42">
        <f t="shared" si="2"/>
        <v>1.9474499999999999E-2</v>
      </c>
      <c r="E49">
        <v>2.0591000000000002E-2</v>
      </c>
      <c r="F49">
        <v>1.8357999999999999E-2</v>
      </c>
      <c r="I49">
        <v>3.3</v>
      </c>
    </row>
    <row r="50" spans="1:11">
      <c r="A50" s="35" t="s">
        <v>52</v>
      </c>
      <c r="B50" s="43">
        <v>3</v>
      </c>
      <c r="C50" s="43">
        <v>8.7999999999999995E-2</v>
      </c>
      <c r="D50" s="43">
        <f t="shared" ref="D50:D57" si="3">(E50+F50)/2</f>
        <v>1.4499999999999999E-2</v>
      </c>
      <c r="E50">
        <v>1.4E-2</v>
      </c>
      <c r="F50">
        <v>1.4999999999999999E-2</v>
      </c>
      <c r="I50">
        <v>0.6</v>
      </c>
    </row>
    <row r="51" spans="1:11">
      <c r="B51" s="43">
        <v>3.9</v>
      </c>
      <c r="C51" s="43">
        <v>9.5000000000000001E-2</v>
      </c>
      <c r="D51" s="43">
        <f t="shared" si="3"/>
        <v>1.55E-2</v>
      </c>
      <c r="E51">
        <v>1.4999999999999999E-2</v>
      </c>
      <c r="F51">
        <v>1.6E-2</v>
      </c>
      <c r="I51">
        <v>0.7</v>
      </c>
    </row>
    <row r="52" spans="1:11">
      <c r="B52" s="43">
        <v>5</v>
      </c>
      <c r="C52" s="43">
        <v>9.8000000000000004E-2</v>
      </c>
      <c r="D52" s="43">
        <f t="shared" si="3"/>
        <v>1.4499999999999999E-2</v>
      </c>
      <c r="E52">
        <v>1.4E-2</v>
      </c>
      <c r="F52">
        <v>1.4999999999999999E-2</v>
      </c>
      <c r="I52">
        <v>0.8</v>
      </c>
    </row>
    <row r="53" spans="1:11">
      <c r="B53" s="43">
        <v>6.5</v>
      </c>
      <c r="C53" s="43">
        <v>0.121</v>
      </c>
      <c r="D53" s="43">
        <f t="shared" si="3"/>
        <v>0.01</v>
      </c>
      <c r="E53">
        <v>0.01</v>
      </c>
      <c r="F53">
        <v>0.01</v>
      </c>
      <c r="I53">
        <v>1</v>
      </c>
    </row>
    <row r="54" spans="1:11">
      <c r="B54" s="43">
        <v>8.4</v>
      </c>
      <c r="C54" s="43">
        <v>0.13900000000000001</v>
      </c>
      <c r="D54" s="43">
        <f t="shared" si="3"/>
        <v>1.0999999999999999E-2</v>
      </c>
      <c r="E54">
        <v>1.0999999999999999E-2</v>
      </c>
      <c r="F54">
        <v>1.0999999999999999E-2</v>
      </c>
      <c r="I54">
        <v>1.3</v>
      </c>
    </row>
    <row r="55" spans="1:11">
      <c r="B55" s="43">
        <v>10.7</v>
      </c>
      <c r="C55" s="43">
        <v>0.14299999999999999</v>
      </c>
      <c r="D55" s="43">
        <f t="shared" si="3"/>
        <v>0.01</v>
      </c>
      <c r="E55">
        <v>0.01</v>
      </c>
      <c r="F55">
        <v>0.01</v>
      </c>
      <c r="I55">
        <v>1.6</v>
      </c>
    </row>
    <row r="56" spans="1:11">
      <c r="B56" s="43">
        <v>14.8</v>
      </c>
      <c r="C56" s="43">
        <v>0.14399999999999999</v>
      </c>
      <c r="D56" s="43">
        <f t="shared" si="3"/>
        <v>8.9999999999999993E-3</v>
      </c>
      <c r="E56">
        <v>8.9999999999999993E-3</v>
      </c>
      <c r="F56">
        <v>8.9999999999999993E-3</v>
      </c>
      <c r="I56">
        <v>1.3</v>
      </c>
    </row>
    <row r="57" spans="1:11">
      <c r="B57" s="43">
        <v>55.2</v>
      </c>
      <c r="C57" s="43">
        <v>0.26800000000000002</v>
      </c>
      <c r="D57" s="43">
        <f t="shared" si="3"/>
        <v>1.2999999999999999E-2</v>
      </c>
      <c r="E57">
        <v>1.2999999999999999E-2</v>
      </c>
      <c r="F57">
        <v>1.2999999999999999E-2</v>
      </c>
      <c r="I57">
        <v>8.8000000000000007</v>
      </c>
    </row>
    <row r="60" spans="1:11">
      <c r="E60" t="s">
        <v>54</v>
      </c>
      <c r="G60">
        <v>-4.1100000000000003</v>
      </c>
      <c r="H60">
        <v>2.81E-3</v>
      </c>
      <c r="I60">
        <v>5.05</v>
      </c>
      <c r="J60">
        <v>1.27</v>
      </c>
      <c r="K60">
        <v>1.7174499999999999</v>
      </c>
    </row>
    <row r="61" spans="1:11">
      <c r="E61" t="s">
        <v>53</v>
      </c>
      <c r="G61">
        <v>-3.91</v>
      </c>
      <c r="H61">
        <v>2.81E-3</v>
      </c>
      <c r="I61">
        <v>5.05</v>
      </c>
      <c r="J61">
        <v>1.27</v>
      </c>
      <c r="K61">
        <v>1.75406</v>
      </c>
    </row>
    <row r="62" spans="1:11">
      <c r="E62" t="s">
        <v>55</v>
      </c>
      <c r="G62">
        <v>-3.63</v>
      </c>
      <c r="H62" s="44">
        <v>2.8E-3</v>
      </c>
      <c r="I62">
        <v>4.7300000000000004</v>
      </c>
      <c r="J62">
        <v>1.27</v>
      </c>
      <c r="K62">
        <v>1.75407</v>
      </c>
    </row>
    <row r="63" spans="1:11">
      <c r="E63" t="s">
        <v>56</v>
      </c>
      <c r="G63">
        <v>-4.1900000000000004</v>
      </c>
      <c r="H63">
        <v>2.82E-3</v>
      </c>
      <c r="I63">
        <v>5.37</v>
      </c>
      <c r="J63">
        <v>1.27</v>
      </c>
      <c r="K63">
        <v>1.75407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L542"/>
  <sheetViews>
    <sheetView tabSelected="1" topLeftCell="A99" workbookViewId="0">
      <selection activeCell="R122" sqref="R122"/>
    </sheetView>
  </sheetViews>
  <sheetFormatPr baseColWidth="10" defaultRowHeight="16"/>
  <cols>
    <col min="1" max="1" width="10.83203125" style="47"/>
    <col min="18" max="298" width="10.83203125" style="33"/>
  </cols>
  <sheetData>
    <row r="1" spans="1:42">
      <c r="A1" s="45"/>
      <c r="B1" s="4" t="s">
        <v>0</v>
      </c>
      <c r="C1" s="4" t="s">
        <v>1</v>
      </c>
      <c r="D1" s="4" t="s">
        <v>57</v>
      </c>
      <c r="E1" s="4" t="s">
        <v>3</v>
      </c>
      <c r="F1" s="4" t="s">
        <v>12</v>
      </c>
      <c r="G1" s="4" t="s">
        <v>13</v>
      </c>
      <c r="H1" s="4" t="s">
        <v>15</v>
      </c>
      <c r="I1" s="4" t="s">
        <v>16</v>
      </c>
      <c r="J1" s="4" t="s">
        <v>17</v>
      </c>
      <c r="K1" s="4" t="s">
        <v>28</v>
      </c>
      <c r="L1" s="4" t="s">
        <v>38</v>
      </c>
      <c r="M1" s="31" t="s">
        <v>39</v>
      </c>
      <c r="N1" s="31" t="s">
        <v>60</v>
      </c>
      <c r="O1" s="31" t="s">
        <v>42</v>
      </c>
      <c r="P1" s="31" t="s">
        <v>43</v>
      </c>
      <c r="R1" s="31" t="s">
        <v>87</v>
      </c>
      <c r="AK1" s="64"/>
      <c r="AL1" s="64"/>
      <c r="AM1" s="64"/>
      <c r="AN1" s="64"/>
      <c r="AO1" s="64"/>
      <c r="AP1" s="64"/>
    </row>
    <row r="2" spans="1:42">
      <c r="A2" s="46" t="s">
        <v>25</v>
      </c>
      <c r="B2" s="4">
        <v>60</v>
      </c>
      <c r="C2" s="7">
        <v>7.2261532129999999</v>
      </c>
      <c r="D2" s="7">
        <v>7.2876001510000004</v>
      </c>
      <c r="E2">
        <f>0.06*D2</f>
        <v>0.43725600906000001</v>
      </c>
      <c r="F2" s="7">
        <v>0.437256009</v>
      </c>
      <c r="G2" s="7">
        <v>0.437256009</v>
      </c>
      <c r="H2" s="7">
        <v>0.17264154600000001</v>
      </c>
      <c r="I2" s="7">
        <v>0.24063146899999999</v>
      </c>
      <c r="J2" s="7">
        <v>0.206636508</v>
      </c>
      <c r="K2">
        <v>5</v>
      </c>
      <c r="L2">
        <v>1</v>
      </c>
      <c r="M2">
        <f>C2</f>
        <v>7.2261532129999999</v>
      </c>
      <c r="N2">
        <f>C2*D2*L2</f>
        <v>52.661315246207934</v>
      </c>
      <c r="O2">
        <f>C2*(D2+F2)*L2-N2</f>
        <v>3.1596789143389117</v>
      </c>
      <c r="P2">
        <f>N2-C2*(D2-G2)*L2</f>
        <v>3.1596789143389046</v>
      </c>
      <c r="R2" s="33">
        <f>N2+Qy!R2</f>
        <v>95.821836440164503</v>
      </c>
      <c r="AK2" s="64"/>
      <c r="AL2" s="64"/>
      <c r="AM2" s="8"/>
      <c r="AN2" s="8"/>
      <c r="AO2" s="64"/>
      <c r="AP2" s="64"/>
    </row>
    <row r="3" spans="1:42">
      <c r="A3" s="66" t="s">
        <v>65</v>
      </c>
      <c r="B3" s="4">
        <v>60</v>
      </c>
      <c r="C3" s="7">
        <v>9.7292153250000002</v>
      </c>
      <c r="D3" s="7">
        <v>7.9533719109999996</v>
      </c>
      <c r="E3">
        <f t="shared" ref="E3:E19" si="0">0.06*D3</f>
        <v>0.47720231465999996</v>
      </c>
      <c r="F3" s="7">
        <v>0.47720231499999999</v>
      </c>
      <c r="G3" s="7">
        <v>0.47720231499999999</v>
      </c>
      <c r="H3" s="7">
        <v>0.234007083</v>
      </c>
      <c r="I3" s="7">
        <v>0.22948606999999999</v>
      </c>
      <c r="J3" s="7">
        <v>0.23174657700000001</v>
      </c>
      <c r="K3">
        <v>5</v>
      </c>
      <c r="L3">
        <v>1</v>
      </c>
      <c r="M3">
        <f t="shared" ref="M3:M73" si="1">C3</f>
        <v>9.7292153250000002</v>
      </c>
      <c r="N3">
        <f t="shared" ref="N3:N73" si="2">C3*D3*L3</f>
        <v>77.38006788192574</v>
      </c>
      <c r="O3">
        <f t="shared" ref="O3:O66" si="3">C3*(D3+F3)*L3-N3</f>
        <v>4.6428040762234701</v>
      </c>
      <c r="P3">
        <f t="shared" ref="P3:P66" si="4">N3-C3*(D3-G3)*L3</f>
        <v>4.6428040762234843</v>
      </c>
      <c r="R3" s="33">
        <f>N3+Qy!R3</f>
        <v>132.9026793796364</v>
      </c>
      <c r="AK3" s="64"/>
      <c r="AL3" s="64"/>
      <c r="AM3" s="8"/>
      <c r="AN3" s="8"/>
      <c r="AO3" s="64"/>
      <c r="AP3" s="64"/>
    </row>
    <row r="4" spans="1:42">
      <c r="A4" s="45"/>
      <c r="B4" s="4">
        <v>60</v>
      </c>
      <c r="C4" s="7">
        <v>12.292660720000001</v>
      </c>
      <c r="D4" s="7">
        <v>8.5506091000000009</v>
      </c>
      <c r="E4">
        <f t="shared" si="0"/>
        <v>0.51303654600000004</v>
      </c>
      <c r="F4" s="7">
        <v>0.51303654600000004</v>
      </c>
      <c r="G4" s="7">
        <v>0.51303654600000004</v>
      </c>
      <c r="H4" s="7">
        <v>0.273496925</v>
      </c>
      <c r="I4" s="7">
        <v>0.32144856900000002</v>
      </c>
      <c r="J4" s="7">
        <v>0.29747274699999998</v>
      </c>
      <c r="K4">
        <v>5</v>
      </c>
      <c r="L4">
        <v>1</v>
      </c>
      <c r="M4">
        <f t="shared" si="1"/>
        <v>12.292660720000001</v>
      </c>
      <c r="N4">
        <f t="shared" si="2"/>
        <v>105.10973661564456</v>
      </c>
      <c r="O4">
        <f t="shared" si="3"/>
        <v>6.3065841969386867</v>
      </c>
      <c r="P4">
        <f t="shared" si="4"/>
        <v>6.3065841969386724</v>
      </c>
      <c r="R4" s="33">
        <f>N4+Qy!R4</f>
        <v>171.07304598432276</v>
      </c>
      <c r="AK4" s="64"/>
      <c r="AL4" s="64"/>
      <c r="AM4" s="8"/>
      <c r="AN4" s="8"/>
      <c r="AO4" s="64"/>
      <c r="AP4" s="64"/>
    </row>
    <row r="5" spans="1:42">
      <c r="A5" s="45"/>
      <c r="B5" s="4">
        <v>60</v>
      </c>
      <c r="C5" s="7">
        <v>14.604795169999999</v>
      </c>
      <c r="D5" s="7">
        <v>8.9772763809999994</v>
      </c>
      <c r="E5">
        <f t="shared" si="0"/>
        <v>0.53863658285999994</v>
      </c>
      <c r="F5" s="7">
        <v>0.53863658299999995</v>
      </c>
      <c r="G5" s="7">
        <v>0.53863658299999995</v>
      </c>
      <c r="H5" s="7">
        <v>0.29859004500000003</v>
      </c>
      <c r="I5" s="7">
        <v>0.30426218999999999</v>
      </c>
      <c r="J5" s="7">
        <v>0.30142611800000002</v>
      </c>
      <c r="K5">
        <v>5</v>
      </c>
      <c r="L5">
        <v>1</v>
      </c>
      <c r="M5">
        <f t="shared" si="1"/>
        <v>14.604795169999999</v>
      </c>
      <c r="N5">
        <f t="shared" si="2"/>
        <v>131.11128272898387</v>
      </c>
      <c r="O5">
        <f t="shared" si="3"/>
        <v>7.8666769657837108</v>
      </c>
      <c r="P5">
        <f t="shared" si="4"/>
        <v>7.8666769657837108</v>
      </c>
      <c r="R5" s="33">
        <f>N5+Qy!R5</f>
        <v>206.70712923209612</v>
      </c>
      <c r="AK5" s="64"/>
      <c r="AL5" s="64"/>
      <c r="AM5" s="8"/>
      <c r="AN5" s="8"/>
      <c r="AO5" s="64"/>
      <c r="AP5" s="64"/>
    </row>
    <row r="6" spans="1:42">
      <c r="A6" s="45"/>
      <c r="B6" s="4">
        <v>60</v>
      </c>
      <c r="C6" s="7">
        <v>17.229005870000002</v>
      </c>
      <c r="D6" s="7">
        <v>9.1490183960000007</v>
      </c>
      <c r="E6">
        <f t="shared" si="0"/>
        <v>0.54894110376000005</v>
      </c>
      <c r="F6" s="7">
        <v>0.54894110399999996</v>
      </c>
      <c r="G6" s="7">
        <v>0.54894110399999996</v>
      </c>
      <c r="H6" s="7">
        <v>0.50352016600000005</v>
      </c>
      <c r="I6" s="7">
        <v>0.34483102300000001</v>
      </c>
      <c r="J6" s="7">
        <v>0.42417559500000002</v>
      </c>
      <c r="K6">
        <v>5</v>
      </c>
      <c r="L6">
        <v>1</v>
      </c>
      <c r="M6">
        <f t="shared" si="1"/>
        <v>17.229005870000002</v>
      </c>
      <c r="N6">
        <f t="shared" si="2"/>
        <v>157.62849164942202</v>
      </c>
      <c r="O6">
        <f t="shared" si="3"/>
        <v>9.4577095031002898</v>
      </c>
      <c r="P6">
        <f t="shared" si="4"/>
        <v>9.4577095031002898</v>
      </c>
      <c r="R6" s="33">
        <f>N6+Qy!R6</f>
        <v>242.87885641941494</v>
      </c>
      <c r="AK6" s="64"/>
      <c r="AL6" s="64"/>
      <c r="AM6" s="8"/>
      <c r="AN6" s="8"/>
      <c r="AO6" s="64"/>
      <c r="AP6" s="64"/>
    </row>
    <row r="7" spans="1:42">
      <c r="A7" s="45"/>
      <c r="B7" s="4">
        <v>60</v>
      </c>
      <c r="C7" s="7">
        <v>19.614904599999999</v>
      </c>
      <c r="D7" s="7">
        <v>9.4884234599999999</v>
      </c>
      <c r="E7">
        <f t="shared" si="0"/>
        <v>0.56930540759999992</v>
      </c>
      <c r="F7" s="7">
        <v>0.56930540799999996</v>
      </c>
      <c r="G7" s="7">
        <v>0.56930540799999996</v>
      </c>
      <c r="H7" s="7">
        <v>0.16785602499999999</v>
      </c>
      <c r="I7" s="7">
        <v>0.29391602999999999</v>
      </c>
      <c r="J7" s="7">
        <v>0.23088602799999999</v>
      </c>
      <c r="K7">
        <v>5</v>
      </c>
      <c r="L7">
        <v>1</v>
      </c>
      <c r="M7">
        <f t="shared" si="1"/>
        <v>19.614904599999999</v>
      </c>
      <c r="N7">
        <f t="shared" si="2"/>
        <v>186.1145209723019</v>
      </c>
      <c r="O7">
        <f t="shared" si="3"/>
        <v>11.166871266184074</v>
      </c>
      <c r="P7">
        <f t="shared" si="4"/>
        <v>11.166871266184074</v>
      </c>
      <c r="R7" s="33">
        <f>N7+Qy!R7</f>
        <v>280.37245096169335</v>
      </c>
      <c r="AK7" s="64"/>
      <c r="AL7" s="64"/>
      <c r="AM7" s="8"/>
      <c r="AN7" s="8"/>
      <c r="AO7" s="64"/>
      <c r="AP7" s="64"/>
    </row>
    <row r="8" spans="1:42">
      <c r="A8" s="45"/>
      <c r="B8" s="4">
        <v>60</v>
      </c>
      <c r="C8" s="7">
        <v>22.116258080000001</v>
      </c>
      <c r="D8" s="7">
        <v>9.6586336379999995</v>
      </c>
      <c r="E8">
        <f t="shared" si="0"/>
        <v>0.57951801827999994</v>
      </c>
      <c r="F8" s="7">
        <v>0.57951801800000002</v>
      </c>
      <c r="G8" s="7">
        <v>0.57951801800000002</v>
      </c>
      <c r="H8" s="7">
        <v>0.37942098400000002</v>
      </c>
      <c r="I8" s="7">
        <v>0.324932677</v>
      </c>
      <c r="J8" s="7">
        <v>0.35217683100000002</v>
      </c>
      <c r="K8">
        <v>5</v>
      </c>
      <c r="L8">
        <v>1</v>
      </c>
      <c r="M8">
        <f t="shared" si="1"/>
        <v>22.116258080000001</v>
      </c>
      <c r="N8">
        <f t="shared" si="2"/>
        <v>213.6128342381773</v>
      </c>
      <c r="O8">
        <f t="shared" si="3"/>
        <v>12.816770048098078</v>
      </c>
      <c r="P8">
        <f t="shared" si="4"/>
        <v>12.816770048098078</v>
      </c>
      <c r="R8" s="33">
        <f>N8+Qy!R8</f>
        <v>315.95654038634518</v>
      </c>
      <c r="AK8" s="64"/>
      <c r="AL8" s="64"/>
      <c r="AM8" s="8"/>
      <c r="AN8" s="8"/>
      <c r="AO8" s="64"/>
      <c r="AP8" s="64"/>
    </row>
    <row r="9" spans="1:42">
      <c r="A9" s="45"/>
      <c r="B9" s="4">
        <v>60</v>
      </c>
      <c r="C9" s="7">
        <v>24.38159769</v>
      </c>
      <c r="D9" s="7">
        <v>9.9108455790000001</v>
      </c>
      <c r="E9">
        <f t="shared" si="0"/>
        <v>0.59465073473999996</v>
      </c>
      <c r="F9" s="7">
        <v>0.59465073499999999</v>
      </c>
      <c r="G9" s="7">
        <v>0.59465073499999999</v>
      </c>
      <c r="H9" s="7">
        <v>0.33487066599999998</v>
      </c>
      <c r="I9" s="7">
        <v>0.32434484699999999</v>
      </c>
      <c r="J9" s="7">
        <v>0.329607757</v>
      </c>
      <c r="K9">
        <v>5</v>
      </c>
      <c r="L9">
        <v>1</v>
      </c>
      <c r="M9">
        <f t="shared" si="1"/>
        <v>24.38159769</v>
      </c>
      <c r="N9">
        <f t="shared" si="2"/>
        <v>241.64224967489312</v>
      </c>
      <c r="O9">
        <f t="shared" si="3"/>
        <v>14.498534986832766</v>
      </c>
      <c r="P9">
        <f t="shared" si="4"/>
        <v>14.498534986832823</v>
      </c>
      <c r="R9" s="33">
        <f>N9+Qy!R9</f>
        <v>351.0281848568759</v>
      </c>
      <c r="AK9" s="64"/>
      <c r="AL9" s="64"/>
      <c r="AM9" s="8"/>
      <c r="AN9" s="8"/>
      <c r="AO9" s="64"/>
      <c r="AP9" s="64"/>
    </row>
    <row r="10" spans="1:42">
      <c r="A10" s="45"/>
      <c r="B10" s="4">
        <v>60</v>
      </c>
      <c r="C10" s="7">
        <v>26.581474</v>
      </c>
      <c r="D10" s="7">
        <v>10.20389267</v>
      </c>
      <c r="E10">
        <f t="shared" si="0"/>
        <v>0.61223356019999997</v>
      </c>
      <c r="F10" s="7">
        <v>0.61223355999999995</v>
      </c>
      <c r="G10" s="7">
        <v>0.61223355999999995</v>
      </c>
      <c r="H10" s="7">
        <v>0.28772400300000001</v>
      </c>
      <c r="I10" s="7">
        <v>0.32111444500000003</v>
      </c>
      <c r="J10" s="7">
        <v>0.30441922399999999</v>
      </c>
      <c r="K10">
        <v>5</v>
      </c>
      <c r="L10">
        <v>1</v>
      </c>
      <c r="M10">
        <f t="shared" si="1"/>
        <v>26.581474</v>
      </c>
      <c r="N10">
        <f t="shared" si="2"/>
        <v>271.23450770639556</v>
      </c>
      <c r="O10">
        <f t="shared" si="3"/>
        <v>16.274070457067467</v>
      </c>
      <c r="P10">
        <f t="shared" si="4"/>
        <v>16.27407045706741</v>
      </c>
      <c r="R10" s="33">
        <f>N10+Qy!R10</f>
        <v>387.19329529111485</v>
      </c>
      <c r="AK10" s="64"/>
      <c r="AL10" s="64"/>
      <c r="AO10" s="64"/>
      <c r="AP10" s="64"/>
    </row>
    <row r="11" spans="1:42">
      <c r="A11" s="45"/>
      <c r="B11" s="4">
        <v>60</v>
      </c>
      <c r="C11" s="7">
        <v>29.417808040000001</v>
      </c>
      <c r="D11" s="7">
        <v>10.134865660000001</v>
      </c>
      <c r="E11">
        <f t="shared" si="0"/>
        <v>0.60809193960000008</v>
      </c>
      <c r="F11" s="7">
        <v>0.60809194</v>
      </c>
      <c r="G11" s="7">
        <v>0.60809194</v>
      </c>
      <c r="H11" s="7">
        <v>0.27780197400000001</v>
      </c>
      <c r="I11" s="7">
        <v>0.33001609199999998</v>
      </c>
      <c r="J11" s="7">
        <v>0.303909033</v>
      </c>
      <c r="K11">
        <v>5</v>
      </c>
      <c r="L11">
        <v>1</v>
      </c>
      <c r="M11">
        <f t="shared" si="1"/>
        <v>29.417808040000001</v>
      </c>
      <c r="N11">
        <f t="shared" si="2"/>
        <v>298.14553249706796</v>
      </c>
      <c r="O11">
        <f t="shared" si="3"/>
        <v>17.888731961591134</v>
      </c>
      <c r="P11">
        <f t="shared" si="4"/>
        <v>17.888731961591191</v>
      </c>
      <c r="R11" s="33">
        <f>N11+Qy!R11</f>
        <v>422.38782730647597</v>
      </c>
      <c r="AK11" s="64"/>
      <c r="AL11" s="64"/>
      <c r="AM11" s="8"/>
      <c r="AN11" s="8"/>
      <c r="AO11" s="64"/>
      <c r="AP11" s="64"/>
    </row>
    <row r="12" spans="1:42">
      <c r="A12" s="45"/>
      <c r="B12" s="4">
        <v>60</v>
      </c>
      <c r="C12" s="7">
        <v>32.922489149999997</v>
      </c>
      <c r="D12" s="7">
        <v>10.31178663</v>
      </c>
      <c r="E12">
        <f t="shared" si="0"/>
        <v>0.61870719779999994</v>
      </c>
      <c r="F12" s="7">
        <v>0.61870719799999996</v>
      </c>
      <c r="G12" s="7">
        <v>0.61870719799999996</v>
      </c>
      <c r="H12" s="7">
        <v>0.279466402</v>
      </c>
      <c r="I12" s="7">
        <v>0.32774557700000001</v>
      </c>
      <c r="J12" s="7">
        <v>0.30360598999999999</v>
      </c>
      <c r="K12">
        <v>5</v>
      </c>
      <c r="L12">
        <v>1</v>
      </c>
      <c r="M12">
        <f t="shared" si="1"/>
        <v>32.922489149999997</v>
      </c>
      <c r="N12">
        <f t="shared" si="2"/>
        <v>339.48968344329006</v>
      </c>
      <c r="O12">
        <f t="shared" si="3"/>
        <v>20.369381013181851</v>
      </c>
      <c r="P12">
        <f t="shared" si="4"/>
        <v>20.369381013181908</v>
      </c>
      <c r="R12" s="33">
        <f>N12+Qy!R12</f>
        <v>473.27726999768538</v>
      </c>
      <c r="AK12" s="64"/>
      <c r="AL12" s="64"/>
      <c r="AM12" s="8"/>
      <c r="AN12" s="8"/>
      <c r="AO12" s="64"/>
      <c r="AP12" s="64"/>
    </row>
    <row r="13" spans="1:42">
      <c r="A13" s="45"/>
      <c r="B13" s="4">
        <v>60</v>
      </c>
      <c r="C13" s="7">
        <v>37.54028701</v>
      </c>
      <c r="D13" s="7">
        <v>10.56500262</v>
      </c>
      <c r="E13">
        <f t="shared" si="0"/>
        <v>0.63390015719999993</v>
      </c>
      <c r="F13" s="7">
        <v>0.63390015700000002</v>
      </c>
      <c r="G13" s="7">
        <v>0.63390015700000002</v>
      </c>
      <c r="H13" s="7">
        <v>0.46654917400000001</v>
      </c>
      <c r="I13" s="7">
        <v>0.36195212900000001</v>
      </c>
      <c r="J13" s="7">
        <v>0.414250652</v>
      </c>
      <c r="K13">
        <v>5</v>
      </c>
      <c r="L13">
        <v>1</v>
      </c>
      <c r="M13">
        <f t="shared" si="1"/>
        <v>37.54028701</v>
      </c>
      <c r="N13">
        <f t="shared" si="2"/>
        <v>396.61323061620197</v>
      </c>
      <c r="O13">
        <f t="shared" si="3"/>
        <v>23.796793829464036</v>
      </c>
      <c r="P13">
        <f t="shared" si="4"/>
        <v>23.796793829464036</v>
      </c>
      <c r="R13" s="33">
        <f>N13+Qy!R13</f>
        <v>541.56797348754412</v>
      </c>
      <c r="AK13" s="64"/>
      <c r="AL13" s="64"/>
      <c r="AM13" s="8"/>
      <c r="AN13" s="8"/>
      <c r="AO13" s="64"/>
      <c r="AP13" s="64"/>
    </row>
    <row r="14" spans="1:42">
      <c r="A14" s="45"/>
      <c r="B14" s="4">
        <v>60</v>
      </c>
      <c r="C14" s="7">
        <v>42.226866090000001</v>
      </c>
      <c r="D14" s="7">
        <v>10.75817924</v>
      </c>
      <c r="E14">
        <f t="shared" si="0"/>
        <v>0.64549075440000003</v>
      </c>
      <c r="F14" s="7">
        <v>0.645490754</v>
      </c>
      <c r="G14" s="7">
        <v>0.645490754</v>
      </c>
      <c r="H14" s="7">
        <v>0.37548021599999998</v>
      </c>
      <c r="I14" s="7">
        <v>0.287087967</v>
      </c>
      <c r="J14" s="7">
        <v>0.33128409199999997</v>
      </c>
      <c r="K14">
        <v>5</v>
      </c>
      <c r="L14">
        <v>1</v>
      </c>
      <c r="M14">
        <f t="shared" si="1"/>
        <v>42.226866090000001</v>
      </c>
      <c r="N14">
        <f t="shared" si="2"/>
        <v>454.284194139698</v>
      </c>
      <c r="O14">
        <f t="shared" si="3"/>
        <v>27.257051631491152</v>
      </c>
      <c r="P14">
        <f t="shared" si="4"/>
        <v>27.257051631491152</v>
      </c>
      <c r="R14" s="33">
        <f>N14+Qy!R15</f>
        <v>620.37311633682248</v>
      </c>
      <c r="AK14" s="64"/>
      <c r="AL14" s="64"/>
      <c r="AM14" s="8"/>
      <c r="AN14" s="8"/>
      <c r="AO14" s="64"/>
      <c r="AP14" s="64"/>
    </row>
    <row r="15" spans="1:42">
      <c r="A15" s="45"/>
      <c r="B15" s="4">
        <v>60</v>
      </c>
      <c r="C15" s="7">
        <v>46.700567560000003</v>
      </c>
      <c r="D15" s="7">
        <v>11.001246910000001</v>
      </c>
      <c r="E15">
        <f t="shared" si="0"/>
        <v>0.66007481460000006</v>
      </c>
      <c r="F15" s="7">
        <v>0.66007481499999998</v>
      </c>
      <c r="G15" s="7">
        <v>0.66007481499999998</v>
      </c>
      <c r="H15" s="7">
        <v>0.47353676300000003</v>
      </c>
      <c r="I15" s="7">
        <v>0.35217029399999999</v>
      </c>
      <c r="J15" s="7">
        <v>0.412853529</v>
      </c>
      <c r="K15">
        <v>5</v>
      </c>
      <c r="L15">
        <v>1</v>
      </c>
      <c r="M15">
        <f t="shared" si="1"/>
        <v>46.700567560000003</v>
      </c>
      <c r="N15">
        <f t="shared" si="2"/>
        <v>513.76447456469634</v>
      </c>
      <c r="O15">
        <f t="shared" si="3"/>
        <v>30.825868492561995</v>
      </c>
      <c r="P15">
        <f t="shared" si="4"/>
        <v>30.825868492562051</v>
      </c>
      <c r="R15" s="33">
        <f>N15+Qy!R16</f>
        <v>693.500998202657</v>
      </c>
      <c r="AK15" s="64"/>
      <c r="AL15" s="64"/>
      <c r="AM15" s="8"/>
      <c r="AN15" s="8"/>
      <c r="AO15" s="64"/>
      <c r="AP15" s="64"/>
    </row>
    <row r="16" spans="1:42">
      <c r="A16" s="45"/>
      <c r="B16" s="4">
        <v>60</v>
      </c>
      <c r="C16" s="7">
        <v>56.5</v>
      </c>
      <c r="D16" s="7">
        <v>11.28652771</v>
      </c>
      <c r="E16">
        <f t="shared" si="0"/>
        <v>0.67719166259999997</v>
      </c>
      <c r="F16" s="7">
        <v>0.677191663</v>
      </c>
      <c r="G16" s="7">
        <v>0.677191663</v>
      </c>
      <c r="H16" s="7">
        <v>0.372884508</v>
      </c>
      <c r="I16" s="7">
        <v>0.299861143</v>
      </c>
      <c r="J16" s="7">
        <v>0.33637282600000001</v>
      </c>
      <c r="K16">
        <v>5</v>
      </c>
      <c r="L16">
        <v>1</v>
      </c>
      <c r="M16">
        <f t="shared" si="1"/>
        <v>56.5</v>
      </c>
      <c r="N16">
        <f t="shared" si="2"/>
        <v>637.68881561499995</v>
      </c>
      <c r="O16">
        <f t="shared" si="3"/>
        <v>38.26132895950002</v>
      </c>
      <c r="P16">
        <f t="shared" si="4"/>
        <v>38.26132895950002</v>
      </c>
      <c r="R16" s="33">
        <f>N16+Qy!R17</f>
        <v>829.68926471499992</v>
      </c>
      <c r="AK16" s="64"/>
      <c r="AL16" s="64"/>
      <c r="AO16" s="64"/>
      <c r="AP16" s="64"/>
    </row>
    <row r="17" spans="1:298">
      <c r="A17" s="45"/>
      <c r="B17" s="4">
        <v>60</v>
      </c>
      <c r="C17" s="7">
        <v>60.766878630000001</v>
      </c>
      <c r="D17" s="7">
        <v>11.7989041</v>
      </c>
      <c r="E17">
        <f t="shared" si="0"/>
        <v>0.70793424599999999</v>
      </c>
      <c r="F17" s="7">
        <v>0.70793424599999999</v>
      </c>
      <c r="G17" s="7">
        <v>0.70793424599999999</v>
      </c>
      <c r="H17" s="7">
        <v>0.51272702699999995</v>
      </c>
      <c r="I17" s="7">
        <v>0.391205686</v>
      </c>
      <c r="J17" s="7">
        <v>0.45196635699999999</v>
      </c>
      <c r="K17">
        <v>5</v>
      </c>
      <c r="L17">
        <v>1</v>
      </c>
      <c r="M17">
        <f t="shared" si="1"/>
        <v>60.766878630000001</v>
      </c>
      <c r="N17">
        <f t="shared" si="2"/>
        <v>716.98257341170938</v>
      </c>
      <c r="O17">
        <f t="shared" si="3"/>
        <v>43.01895440470264</v>
      </c>
      <c r="P17">
        <f t="shared" si="4"/>
        <v>43.01895440470264</v>
      </c>
      <c r="R17" s="33">
        <f>N17+Qy!R18</f>
        <v>914.02802685427707</v>
      </c>
      <c r="AK17" s="64"/>
      <c r="AL17" s="64"/>
      <c r="AM17" s="8"/>
      <c r="AN17" s="8"/>
      <c r="AO17" s="64"/>
      <c r="AP17" s="64"/>
    </row>
    <row r="18" spans="1:298">
      <c r="A18" s="45"/>
      <c r="B18" s="4">
        <v>60</v>
      </c>
      <c r="C18" s="7">
        <v>68.153741550000007</v>
      </c>
      <c r="D18" s="7">
        <v>12.329512279999999</v>
      </c>
      <c r="E18">
        <f t="shared" si="0"/>
        <v>0.73977073679999994</v>
      </c>
      <c r="F18" s="7">
        <v>0.73977073699999996</v>
      </c>
      <c r="G18" s="7">
        <v>0.73977073699999996</v>
      </c>
      <c r="H18" s="7">
        <v>0.50212869199999999</v>
      </c>
      <c r="I18" s="7">
        <v>0.37382011599999998</v>
      </c>
      <c r="J18" s="7">
        <v>0.43797440399999998</v>
      </c>
      <c r="K18">
        <v>5</v>
      </c>
      <c r="L18">
        <v>1</v>
      </c>
      <c r="M18">
        <f t="shared" si="1"/>
        <v>68.153741550000007</v>
      </c>
      <c r="N18">
        <f t="shared" si="2"/>
        <v>840.30239336867123</v>
      </c>
      <c r="O18">
        <f t="shared" si="3"/>
        <v>50.418143615751092</v>
      </c>
      <c r="P18">
        <f t="shared" si="4"/>
        <v>50.418143615750978</v>
      </c>
      <c r="R18" s="33">
        <f>N18+Qy!R19</f>
        <v>1045.5883786130753</v>
      </c>
      <c r="AK18" s="64"/>
      <c r="AL18" s="64"/>
      <c r="AM18" s="8"/>
      <c r="AN18" s="8"/>
      <c r="AO18" s="64"/>
      <c r="AP18" s="64"/>
    </row>
    <row r="19" spans="1:298">
      <c r="A19" s="45"/>
      <c r="B19" s="4">
        <v>60</v>
      </c>
      <c r="C19" s="7">
        <v>77.224916190000002</v>
      </c>
      <c r="D19" s="7">
        <v>13.10346558</v>
      </c>
      <c r="E19">
        <f t="shared" si="0"/>
        <v>0.78620793479999995</v>
      </c>
      <c r="F19" s="7">
        <v>0.78620793499999997</v>
      </c>
      <c r="G19" s="7">
        <v>0.78620793499999997</v>
      </c>
      <c r="H19" s="7">
        <v>0.44429166599999997</v>
      </c>
      <c r="I19" s="7">
        <v>0.32653861699999998</v>
      </c>
      <c r="J19" s="7">
        <v>0.38541514199999999</v>
      </c>
      <c r="K19">
        <v>7.5</v>
      </c>
      <c r="L19">
        <v>1</v>
      </c>
      <c r="M19">
        <f t="shared" si="1"/>
        <v>77.224916190000002</v>
      </c>
      <c r="N19">
        <f t="shared" si="2"/>
        <v>1011.9140312140497</v>
      </c>
      <c r="O19">
        <f t="shared" si="3"/>
        <v>60.714841888288106</v>
      </c>
      <c r="P19">
        <f t="shared" si="4"/>
        <v>60.714841888287992</v>
      </c>
      <c r="R19" s="33">
        <f>N19+Qy!R20</f>
        <v>1238.4263936375994</v>
      </c>
      <c r="AK19" s="64"/>
      <c r="AL19" s="64"/>
      <c r="AO19" s="64"/>
      <c r="AP19" s="64"/>
    </row>
    <row r="20" spans="1:298" s="5" customFormat="1">
      <c r="A20" s="75" t="s">
        <v>20</v>
      </c>
      <c r="B20" s="69">
        <v>82</v>
      </c>
      <c r="C20" s="70">
        <v>0.5</v>
      </c>
      <c r="D20" s="70">
        <v>1.2809265999999999</v>
      </c>
      <c r="E20" s="5">
        <f>0.07*D20</f>
        <v>8.9664861999999998E-2</v>
      </c>
      <c r="F20" s="70">
        <v>8.9664861999999998E-2</v>
      </c>
      <c r="G20" s="70">
        <v>8.9664861999999998E-2</v>
      </c>
      <c r="K20" s="5">
        <v>1</v>
      </c>
      <c r="L20" s="5">
        <v>1</v>
      </c>
      <c r="M20" s="5">
        <f>C20</f>
        <v>0.5</v>
      </c>
      <c r="N20" s="5">
        <f t="shared" si="2"/>
        <v>0.64046329999999996</v>
      </c>
      <c r="O20">
        <f t="shared" si="3"/>
        <v>4.4832431000000006E-2</v>
      </c>
      <c r="P20">
        <f t="shared" si="4"/>
        <v>4.4832431000000006E-2</v>
      </c>
      <c r="R20" s="5">
        <f>N20+Qy!R21</f>
        <v>4.3365959499999995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64"/>
      <c r="AL20" s="64"/>
      <c r="AM20" s="33"/>
      <c r="AN20" s="33"/>
      <c r="AO20" s="64"/>
      <c r="AP20" s="64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</row>
    <row r="21" spans="1:298" s="5" customFormat="1">
      <c r="A21" s="75" t="s">
        <v>84</v>
      </c>
      <c r="B21" s="69">
        <v>82</v>
      </c>
      <c r="C21" s="70">
        <v>1</v>
      </c>
      <c r="D21" s="70">
        <v>2.2685175000000002</v>
      </c>
      <c r="E21" s="5">
        <f t="shared" ref="E21:E26" si="5">0.07*D21</f>
        <v>0.15879622500000004</v>
      </c>
      <c r="F21" s="70">
        <v>0.15879622500000001</v>
      </c>
      <c r="G21" s="70">
        <v>0.15879622500000001</v>
      </c>
      <c r="K21" s="5">
        <v>1</v>
      </c>
      <c r="L21" s="5">
        <v>1</v>
      </c>
      <c r="M21" s="5">
        <f t="shared" ref="M21:M26" si="6">C21</f>
        <v>1</v>
      </c>
      <c r="N21" s="5">
        <f t="shared" ref="N21:N26" si="7">C21*D21*L21</f>
        <v>2.2685175000000002</v>
      </c>
      <c r="O21">
        <f t="shared" si="3"/>
        <v>0.15879622500000012</v>
      </c>
      <c r="P21">
        <f t="shared" si="4"/>
        <v>0.15879622500000012</v>
      </c>
      <c r="R21" s="5">
        <f>N21+Qy!R22</f>
        <v>9.5116115000000008</v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64"/>
      <c r="AL21" s="64"/>
      <c r="AM21" s="33"/>
      <c r="AN21" s="33"/>
      <c r="AO21" s="64"/>
      <c r="AP21" s="64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</row>
    <row r="22" spans="1:298" s="5" customFormat="1">
      <c r="A22" s="75"/>
      <c r="B22" s="69">
        <v>82</v>
      </c>
      <c r="C22" s="70">
        <v>3</v>
      </c>
      <c r="D22" s="70">
        <v>4.7688746000000002</v>
      </c>
      <c r="E22" s="5">
        <f t="shared" si="5"/>
        <v>0.33382122200000003</v>
      </c>
      <c r="F22" s="70">
        <v>0.33382122199999997</v>
      </c>
      <c r="G22" s="70">
        <v>0.33382122199999997</v>
      </c>
      <c r="K22" s="5">
        <v>1</v>
      </c>
      <c r="L22" s="5">
        <v>1</v>
      </c>
      <c r="M22" s="5">
        <f t="shared" si="6"/>
        <v>3</v>
      </c>
      <c r="N22" s="5">
        <f t="shared" si="7"/>
        <v>14.306623800000001</v>
      </c>
      <c r="O22">
        <f t="shared" si="3"/>
        <v>1.0014636659999994</v>
      </c>
      <c r="P22">
        <f t="shared" si="4"/>
        <v>1.0014636659999994</v>
      </c>
      <c r="R22" s="5">
        <f>N22+Qy!R23</f>
        <v>33.002755800000003</v>
      </c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64"/>
      <c r="AL22" s="64"/>
      <c r="AM22" s="33"/>
      <c r="AN22" s="33"/>
      <c r="AO22" s="64"/>
      <c r="AP22" s="64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</row>
    <row r="23" spans="1:298" s="5" customFormat="1">
      <c r="A23" s="75"/>
      <c r="B23" s="69">
        <v>82</v>
      </c>
      <c r="C23" s="70">
        <v>6</v>
      </c>
      <c r="D23" s="70">
        <v>6.5829690000000003</v>
      </c>
      <c r="E23" s="5">
        <f t="shared" si="5"/>
        <v>0.46080783000000008</v>
      </c>
      <c r="F23" s="70">
        <v>0.46080782999999997</v>
      </c>
      <c r="G23" s="70">
        <v>0.46080782999999997</v>
      </c>
      <c r="K23" s="5">
        <v>1</v>
      </c>
      <c r="L23" s="5">
        <v>1</v>
      </c>
      <c r="M23" s="5">
        <f t="shared" si="6"/>
        <v>6</v>
      </c>
      <c r="N23" s="5">
        <f t="shared" si="7"/>
        <v>39.497814000000005</v>
      </c>
      <c r="O23">
        <f t="shared" si="3"/>
        <v>2.7648469800000015</v>
      </c>
      <c r="P23">
        <f t="shared" si="4"/>
        <v>2.7648469800000015</v>
      </c>
      <c r="R23" s="5">
        <f>N23+Qy!R24</f>
        <v>72.514387800000009</v>
      </c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64"/>
      <c r="AL23" s="64"/>
      <c r="AM23" s="33"/>
      <c r="AN23" s="33"/>
      <c r="AO23" s="64"/>
      <c r="AP23" s="64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</row>
    <row r="24" spans="1:298" s="5" customFormat="1">
      <c r="A24" s="75"/>
      <c r="B24" s="69">
        <v>82</v>
      </c>
      <c r="C24" s="70">
        <v>10</v>
      </c>
      <c r="D24" s="70">
        <v>7.8470864000000002</v>
      </c>
      <c r="E24" s="5">
        <f t="shared" si="5"/>
        <v>0.54929604800000009</v>
      </c>
      <c r="F24" s="70">
        <v>0.54929604799999998</v>
      </c>
      <c r="G24" s="70">
        <v>0.54929604799999998</v>
      </c>
      <c r="K24" s="5">
        <v>1</v>
      </c>
      <c r="L24" s="5">
        <v>1</v>
      </c>
      <c r="M24" s="5">
        <f t="shared" si="6"/>
        <v>10</v>
      </c>
      <c r="N24" s="5">
        <f t="shared" si="7"/>
        <v>78.470864000000006</v>
      </c>
      <c r="O24">
        <f t="shared" si="3"/>
        <v>5.4929604799999936</v>
      </c>
      <c r="P24">
        <f t="shared" si="4"/>
        <v>5.4929604800000078</v>
      </c>
      <c r="R24" s="5">
        <f>N24+Qy!R25</f>
        <v>129.35484400000001</v>
      </c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64"/>
      <c r="AL24" s="64"/>
      <c r="AM24" s="33"/>
      <c r="AN24" s="33"/>
      <c r="AO24" s="64"/>
      <c r="AP24" s="64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</row>
    <row r="25" spans="1:298" s="5" customFormat="1">
      <c r="A25" s="75"/>
      <c r="B25" s="69">
        <v>82</v>
      </c>
      <c r="C25" s="70">
        <v>30</v>
      </c>
      <c r="D25" s="70">
        <v>10.815737</v>
      </c>
      <c r="E25" s="5">
        <f t="shared" si="5"/>
        <v>0.7571015900000001</v>
      </c>
      <c r="F25" s="70">
        <v>0.75710158999999999</v>
      </c>
      <c r="G25" s="70">
        <v>0.75710158999999999</v>
      </c>
      <c r="K25" s="5">
        <v>1</v>
      </c>
      <c r="L25" s="5">
        <v>1</v>
      </c>
      <c r="M25" s="5">
        <f t="shared" si="6"/>
        <v>30</v>
      </c>
      <c r="N25" s="5">
        <f t="shared" si="7"/>
        <v>324.47210999999999</v>
      </c>
      <c r="O25">
        <f t="shared" si="3"/>
        <v>22.713047700000004</v>
      </c>
      <c r="P25">
        <f t="shared" si="4"/>
        <v>22.713047699999947</v>
      </c>
      <c r="R25" s="5">
        <f>N25+Qy!R26</f>
        <v>453.25663799999995</v>
      </c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64"/>
      <c r="AL25" s="64"/>
      <c r="AM25" s="33"/>
      <c r="AN25" s="33"/>
      <c r="AO25" s="64"/>
      <c r="AP25" s="64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</row>
    <row r="26" spans="1:298" s="5" customFormat="1">
      <c r="A26" s="75"/>
      <c r="B26" s="69">
        <v>82</v>
      </c>
      <c r="C26" s="70">
        <v>50</v>
      </c>
      <c r="D26" s="70">
        <v>12.382913</v>
      </c>
      <c r="E26" s="5">
        <f t="shared" si="5"/>
        <v>0.86680391000000012</v>
      </c>
      <c r="F26" s="70">
        <v>0.86680391000000001</v>
      </c>
      <c r="G26" s="70">
        <v>0.86680391000000001</v>
      </c>
      <c r="K26" s="5">
        <v>1</v>
      </c>
      <c r="L26" s="5">
        <v>1</v>
      </c>
      <c r="M26" s="5">
        <f t="shared" si="6"/>
        <v>50</v>
      </c>
      <c r="N26" s="5">
        <f t="shared" si="7"/>
        <v>619.14565000000005</v>
      </c>
      <c r="O26">
        <f t="shared" si="3"/>
        <v>43.340195499999936</v>
      </c>
      <c r="P26">
        <f t="shared" si="4"/>
        <v>43.34019550000005</v>
      </c>
      <c r="R26" s="5">
        <f>N26+Qy!R27</f>
        <v>818.86940500000003</v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64"/>
      <c r="AL26" s="64"/>
      <c r="AM26" s="33"/>
      <c r="AN26" s="33"/>
      <c r="AO26" s="64"/>
      <c r="AP26" s="64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</row>
    <row r="27" spans="1:298" s="53" customFormat="1">
      <c r="A27" s="50" t="s">
        <v>20</v>
      </c>
      <c r="B27" s="51">
        <v>116.7</v>
      </c>
      <c r="C27" s="52">
        <v>2.995625</v>
      </c>
      <c r="D27" s="53">
        <v>4.5261560000000003</v>
      </c>
      <c r="E27" s="53">
        <v>0.15</v>
      </c>
      <c r="F27" s="76">
        <v>0.15</v>
      </c>
      <c r="G27" s="76">
        <v>0.15</v>
      </c>
      <c r="K27" s="53">
        <v>7.5</v>
      </c>
      <c r="L27" s="53">
        <v>1</v>
      </c>
      <c r="M27" s="53">
        <f t="shared" si="1"/>
        <v>2.995625</v>
      </c>
      <c r="N27" s="53">
        <f t="shared" si="2"/>
        <v>13.558666067500001</v>
      </c>
      <c r="O27">
        <f t="shared" si="3"/>
        <v>0.4493437500000006</v>
      </c>
      <c r="P27">
        <f t="shared" si="4"/>
        <v>0.4493437500000006</v>
      </c>
      <c r="R27" s="33">
        <f>N27+7.7329*M27^0.81979</f>
        <v>32.567787177728846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64"/>
      <c r="AL27" s="64"/>
      <c r="AM27" s="8"/>
      <c r="AN27" s="8"/>
      <c r="AO27" s="64"/>
      <c r="AP27" s="64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</row>
    <row r="28" spans="1:298" s="53" customFormat="1">
      <c r="A28" s="65" t="s">
        <v>66</v>
      </c>
      <c r="B28" s="51">
        <v>116.7</v>
      </c>
      <c r="C28" s="53">
        <v>3.1296895</v>
      </c>
      <c r="D28" s="53">
        <v>4.6506176000000004</v>
      </c>
      <c r="E28" s="53">
        <v>0.15</v>
      </c>
      <c r="F28" s="76">
        <v>0.15</v>
      </c>
      <c r="G28" s="76">
        <v>0.15</v>
      </c>
      <c r="K28" s="53">
        <v>7.5</v>
      </c>
      <c r="L28" s="53">
        <v>1</v>
      </c>
      <c r="M28" s="53">
        <f t="shared" si="1"/>
        <v>3.1296895</v>
      </c>
      <c r="N28" s="53">
        <f t="shared" si="2"/>
        <v>14.554989071235202</v>
      </c>
      <c r="O28">
        <f t="shared" si="3"/>
        <v>0.46945342500000109</v>
      </c>
      <c r="P28">
        <f t="shared" si="4"/>
        <v>0.46945342500000109</v>
      </c>
      <c r="R28" s="33">
        <f t="shared" ref="R28:R40" si="8">N28+7.7329*M28^0.81979</f>
        <v>34.258760736404355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64"/>
      <c r="AL28" s="64"/>
      <c r="AM28" s="8"/>
      <c r="AN28" s="8"/>
      <c r="AO28" s="64"/>
      <c r="AP28" s="64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</row>
    <row r="29" spans="1:298" s="53" customFormat="1">
      <c r="A29" s="1" t="s">
        <v>67</v>
      </c>
      <c r="B29" s="51">
        <v>116.7</v>
      </c>
      <c r="C29" s="53">
        <v>3.9012509999999998</v>
      </c>
      <c r="D29" s="53">
        <v>5.1992909999999997</v>
      </c>
      <c r="E29" s="53">
        <v>0.15</v>
      </c>
      <c r="F29" s="76">
        <v>0.15</v>
      </c>
      <c r="G29" s="76">
        <v>0.15</v>
      </c>
      <c r="K29" s="53">
        <v>7.5</v>
      </c>
      <c r="L29" s="53">
        <v>1</v>
      </c>
      <c r="M29" s="53">
        <f t="shared" si="1"/>
        <v>3.9012509999999998</v>
      </c>
      <c r="N29" s="53">
        <f t="shared" si="2"/>
        <v>20.283739213040999</v>
      </c>
      <c r="O29">
        <f t="shared" si="3"/>
        <v>0.58518765000000172</v>
      </c>
      <c r="P29">
        <f t="shared" si="4"/>
        <v>0.58518765000000172</v>
      </c>
      <c r="R29" s="33">
        <f t="shared" si="8"/>
        <v>43.888816866292061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64"/>
      <c r="AL29" s="64"/>
      <c r="AM29" s="8"/>
      <c r="AN29" s="8"/>
      <c r="AO29" s="64"/>
      <c r="AP29" s="64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</row>
    <row r="30" spans="1:298" s="53" customFormat="1">
      <c r="A30" s="54"/>
      <c r="B30" s="51">
        <v>116.7</v>
      </c>
      <c r="C30" s="53">
        <v>4.4618278</v>
      </c>
      <c r="D30" s="53">
        <v>5.5390262999999997</v>
      </c>
      <c r="E30" s="53">
        <v>0.15</v>
      </c>
      <c r="F30" s="76">
        <v>0.15</v>
      </c>
      <c r="G30" s="76">
        <v>0.15</v>
      </c>
      <c r="K30" s="53">
        <v>7.5</v>
      </c>
      <c r="L30" s="53">
        <v>1</v>
      </c>
      <c r="M30" s="53">
        <f t="shared" si="1"/>
        <v>4.4618278</v>
      </c>
      <c r="N30" s="53">
        <f t="shared" si="2"/>
        <v>24.714181530271137</v>
      </c>
      <c r="O30">
        <f t="shared" si="3"/>
        <v>0.66927417000000489</v>
      </c>
      <c r="P30">
        <f t="shared" si="4"/>
        <v>0.66927417000000133</v>
      </c>
      <c r="R30" s="33">
        <f t="shared" si="8"/>
        <v>51.065751612747761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</row>
    <row r="31" spans="1:298" s="53" customFormat="1">
      <c r="A31" s="54"/>
      <c r="B31" s="51">
        <v>116.7</v>
      </c>
      <c r="C31" s="53">
        <v>4.9924625999999996</v>
      </c>
      <c r="D31" s="53">
        <v>5.8302426000000001</v>
      </c>
      <c r="E31" s="53">
        <v>0.15</v>
      </c>
      <c r="F31" s="76">
        <v>0.15</v>
      </c>
      <c r="G31" s="76">
        <v>0.15</v>
      </c>
      <c r="K31" s="53">
        <v>7.5</v>
      </c>
      <c r="L31" s="53">
        <v>1</v>
      </c>
      <c r="M31" s="53">
        <f t="shared" si="1"/>
        <v>4.9924625999999996</v>
      </c>
      <c r="N31" s="53">
        <f t="shared" si="2"/>
        <v>29.107268129426757</v>
      </c>
      <c r="O31">
        <f t="shared" si="3"/>
        <v>0.74886939000000297</v>
      </c>
      <c r="P31">
        <f t="shared" si="4"/>
        <v>0.74886938999999941</v>
      </c>
      <c r="R31" s="33">
        <f t="shared" si="8"/>
        <v>58.001682750537128</v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8"/>
      <c r="AN31" s="8"/>
      <c r="AO31" s="64"/>
      <c r="AP31" s="64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  <c r="JB31" s="33"/>
      <c r="JC31" s="33"/>
      <c r="JD31" s="33"/>
      <c r="JE31" s="33"/>
      <c r="JF31" s="33"/>
      <c r="JG31" s="33"/>
      <c r="JH31" s="33"/>
      <c r="JI31" s="33"/>
      <c r="JJ31" s="33"/>
      <c r="JK31" s="33"/>
      <c r="JL31" s="33"/>
      <c r="JM31" s="33"/>
      <c r="JN31" s="33"/>
      <c r="JO31" s="33"/>
      <c r="JP31" s="33"/>
      <c r="JQ31" s="33"/>
      <c r="JR31" s="33"/>
      <c r="JS31" s="33"/>
      <c r="JT31" s="33"/>
      <c r="JU31" s="33"/>
      <c r="JV31" s="33"/>
      <c r="JW31" s="33"/>
      <c r="JX31" s="33"/>
      <c r="JY31" s="33"/>
      <c r="JZ31" s="33"/>
      <c r="KA31" s="33"/>
      <c r="KB31" s="33"/>
      <c r="KC31" s="33"/>
      <c r="KD31" s="33"/>
      <c r="KE31" s="33"/>
      <c r="KF31" s="33"/>
      <c r="KG31" s="33"/>
      <c r="KH31" s="33"/>
      <c r="KI31" s="33"/>
      <c r="KJ31" s="33"/>
      <c r="KK31" s="33"/>
      <c r="KL31" s="33"/>
    </row>
    <row r="32" spans="1:298" s="53" customFormat="1">
      <c r="A32" s="54"/>
      <c r="B32" s="51">
        <v>116.7</v>
      </c>
      <c r="C32" s="53">
        <v>5.8875330000000003</v>
      </c>
      <c r="D32" s="53">
        <v>6.2676243999999999</v>
      </c>
      <c r="E32" s="53">
        <v>0.15</v>
      </c>
      <c r="F32" s="76">
        <v>0.15</v>
      </c>
      <c r="G32" s="76">
        <v>0.15</v>
      </c>
      <c r="K32" s="53">
        <v>7.5</v>
      </c>
      <c r="L32" s="53">
        <v>1</v>
      </c>
      <c r="M32" s="53">
        <f t="shared" si="1"/>
        <v>5.8875330000000003</v>
      </c>
      <c r="N32" s="53">
        <f t="shared" si="2"/>
        <v>36.900845486605199</v>
      </c>
      <c r="O32">
        <f t="shared" si="3"/>
        <v>0.88312995000000427</v>
      </c>
      <c r="P32">
        <f t="shared" si="4"/>
        <v>0.88312994999999717</v>
      </c>
      <c r="R32" s="33">
        <f t="shared" si="8"/>
        <v>69.977841325170132</v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64"/>
      <c r="AL32" s="64"/>
      <c r="AM32" s="64"/>
      <c r="AN32" s="64"/>
      <c r="AO32" s="64"/>
      <c r="AP32" s="64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60"/>
      <c r="CF32" s="60"/>
      <c r="CG32" s="8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  <c r="JB32" s="33"/>
      <c r="JC32" s="33"/>
      <c r="JD32" s="33"/>
      <c r="JE32" s="33"/>
      <c r="JF32" s="33"/>
      <c r="JG32" s="33"/>
      <c r="JH32" s="33"/>
      <c r="JI32" s="33"/>
      <c r="JJ32" s="33"/>
      <c r="JK32" s="33"/>
      <c r="JL32" s="33"/>
      <c r="JM32" s="33"/>
      <c r="JN32" s="33"/>
      <c r="JO32" s="33"/>
      <c r="JP32" s="33"/>
      <c r="JQ32" s="33"/>
      <c r="JR32" s="33"/>
      <c r="JS32" s="33"/>
      <c r="JT32" s="33"/>
      <c r="JU32" s="33"/>
      <c r="JV32" s="33"/>
      <c r="JW32" s="33"/>
      <c r="JX32" s="33"/>
      <c r="JY32" s="33"/>
      <c r="JZ32" s="33"/>
      <c r="KA32" s="33"/>
      <c r="KB32" s="33"/>
      <c r="KC32" s="33"/>
      <c r="KD32" s="33"/>
      <c r="KE32" s="33"/>
      <c r="KF32" s="33"/>
      <c r="KG32" s="33"/>
      <c r="KH32" s="33"/>
      <c r="KI32" s="33"/>
      <c r="KJ32" s="33"/>
      <c r="KK32" s="33"/>
      <c r="KL32" s="33"/>
    </row>
    <row r="33" spans="1:298" s="53" customFormat="1">
      <c r="A33" s="54"/>
      <c r="B33" s="51">
        <v>116.7</v>
      </c>
      <c r="C33" s="53">
        <v>6.5017642999999996</v>
      </c>
      <c r="D33" s="53">
        <v>6.4984700000000002</v>
      </c>
      <c r="E33" s="53">
        <v>0.15</v>
      </c>
      <c r="F33" s="76">
        <v>0.15</v>
      </c>
      <c r="G33" s="76">
        <v>0.15</v>
      </c>
      <c r="K33" s="53">
        <v>7.5</v>
      </c>
      <c r="L33" s="53">
        <v>1</v>
      </c>
      <c r="M33" s="53">
        <f t="shared" si="1"/>
        <v>6.5017642999999996</v>
      </c>
      <c r="N33" s="53">
        <f t="shared" si="2"/>
        <v>42.251520250620999</v>
      </c>
      <c r="O33">
        <f t="shared" si="3"/>
        <v>0.97526464500000287</v>
      </c>
      <c r="P33">
        <f t="shared" si="4"/>
        <v>0.97526464500000287</v>
      </c>
      <c r="R33" s="33">
        <f t="shared" si="8"/>
        <v>78.131918858102154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64"/>
      <c r="AL33" s="64"/>
      <c r="AM33" s="64"/>
      <c r="AN33" s="64"/>
      <c r="AO33" s="64"/>
      <c r="AP33" s="64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60"/>
      <c r="CF33" s="60"/>
      <c r="CG33" s="8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  <c r="JB33" s="33"/>
      <c r="JC33" s="33"/>
      <c r="JD33" s="33"/>
      <c r="JE33" s="33"/>
      <c r="JF33" s="33"/>
      <c r="JG33" s="33"/>
      <c r="JH33" s="33"/>
      <c r="JI33" s="33"/>
      <c r="JJ33" s="33"/>
      <c r="JK33" s="33"/>
      <c r="JL33" s="33"/>
      <c r="JM33" s="33"/>
      <c r="JN33" s="33"/>
      <c r="JO33" s="33"/>
      <c r="JP33" s="33"/>
      <c r="JQ33" s="33"/>
      <c r="JR33" s="33"/>
      <c r="JS33" s="33"/>
      <c r="JT33" s="33"/>
      <c r="JU33" s="33"/>
      <c r="JV33" s="33"/>
      <c r="JW33" s="33"/>
      <c r="JX33" s="33"/>
      <c r="JY33" s="33"/>
      <c r="JZ33" s="33"/>
      <c r="KA33" s="33"/>
      <c r="KB33" s="33"/>
      <c r="KC33" s="33"/>
      <c r="KD33" s="33"/>
      <c r="KE33" s="33"/>
      <c r="KF33" s="33"/>
      <c r="KG33" s="33"/>
      <c r="KH33" s="33"/>
      <c r="KI33" s="33"/>
      <c r="KJ33" s="33"/>
      <c r="KK33" s="33"/>
      <c r="KL33" s="33"/>
    </row>
    <row r="34" spans="1:298" s="53" customFormat="1">
      <c r="A34" s="54"/>
      <c r="B34" s="51">
        <v>116.7</v>
      </c>
      <c r="C34" s="53">
        <v>7.4577483999999998</v>
      </c>
      <c r="D34" s="53">
        <v>6.8401300000000003</v>
      </c>
      <c r="E34" s="53">
        <v>0.15</v>
      </c>
      <c r="F34" s="76">
        <v>0.15</v>
      </c>
      <c r="G34" s="76">
        <v>0.15</v>
      </c>
      <c r="K34" s="53">
        <v>7.5</v>
      </c>
      <c r="L34" s="53">
        <v>1</v>
      </c>
      <c r="M34" s="53">
        <f t="shared" si="1"/>
        <v>7.4577483999999998</v>
      </c>
      <c r="N34" s="53">
        <f t="shared" si="2"/>
        <v>51.011968563292001</v>
      </c>
      <c r="O34">
        <f t="shared" si="3"/>
        <v>1.1186622600000007</v>
      </c>
      <c r="P34">
        <f t="shared" si="4"/>
        <v>1.1186622600000007</v>
      </c>
      <c r="R34" s="33">
        <f t="shared" si="8"/>
        <v>91.163071808400943</v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60"/>
      <c r="CF34" s="60"/>
      <c r="CG34" s="8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  <c r="JB34" s="33"/>
      <c r="JC34" s="33"/>
      <c r="JD34" s="33"/>
      <c r="JE34" s="33"/>
      <c r="JF34" s="33"/>
      <c r="JG34" s="33"/>
      <c r="JH34" s="33"/>
      <c r="JI34" s="33"/>
      <c r="JJ34" s="33"/>
      <c r="JK34" s="33"/>
      <c r="JL34" s="33"/>
      <c r="JM34" s="33"/>
      <c r="JN34" s="33"/>
      <c r="JO34" s="33"/>
      <c r="JP34" s="33"/>
      <c r="JQ34" s="33"/>
      <c r="JR34" s="33"/>
      <c r="JS34" s="33"/>
      <c r="JT34" s="33"/>
      <c r="JU34" s="33"/>
      <c r="JV34" s="33"/>
      <c r="JW34" s="33"/>
      <c r="JX34" s="33"/>
      <c r="JY34" s="33"/>
      <c r="JZ34" s="33"/>
      <c r="KA34" s="33"/>
      <c r="KB34" s="33"/>
      <c r="KC34" s="33"/>
      <c r="KD34" s="33"/>
      <c r="KE34" s="33"/>
      <c r="KF34" s="33"/>
      <c r="KG34" s="33"/>
      <c r="KH34" s="33"/>
      <c r="KI34" s="33"/>
      <c r="KJ34" s="33"/>
      <c r="KK34" s="33"/>
      <c r="KL34" s="33"/>
    </row>
    <row r="35" spans="1:298" s="53" customFormat="1">
      <c r="A35" s="54"/>
      <c r="B35" s="51">
        <v>116.7</v>
      </c>
      <c r="C35" s="53">
        <v>8.393535</v>
      </c>
      <c r="D35" s="53">
        <v>7.1134700000000004</v>
      </c>
      <c r="E35" s="53">
        <v>0.15</v>
      </c>
      <c r="F35" s="76">
        <v>0.15</v>
      </c>
      <c r="G35" s="76">
        <v>0.15</v>
      </c>
      <c r="K35" s="53">
        <v>7.5</v>
      </c>
      <c r="L35" s="53">
        <v>1</v>
      </c>
      <c r="M35" s="53">
        <f t="shared" si="1"/>
        <v>8.393535</v>
      </c>
      <c r="N35" s="53">
        <f t="shared" si="2"/>
        <v>59.707159416450004</v>
      </c>
      <c r="O35">
        <f t="shared" si="3"/>
        <v>1.2590302500000021</v>
      </c>
      <c r="P35">
        <f t="shared" si="4"/>
        <v>1.2590302500000021</v>
      </c>
      <c r="R35" s="33">
        <f t="shared" si="8"/>
        <v>103.94390694183042</v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60"/>
      <c r="AL35" s="60"/>
      <c r="AM35" s="8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60"/>
      <c r="CF35" s="60"/>
      <c r="CG35" s="8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  <c r="JA35" s="33"/>
      <c r="JB35" s="33"/>
      <c r="JC35" s="33"/>
      <c r="JD35" s="33"/>
      <c r="JE35" s="33"/>
      <c r="JF35" s="33"/>
      <c r="JG35" s="33"/>
      <c r="JH35" s="33"/>
      <c r="JI35" s="33"/>
      <c r="JJ35" s="33"/>
      <c r="JK35" s="33"/>
      <c r="JL35" s="33"/>
      <c r="JM35" s="33"/>
      <c r="JN35" s="33"/>
      <c r="JO35" s="33"/>
      <c r="JP35" s="33"/>
      <c r="JQ35" s="33"/>
      <c r="JR35" s="33"/>
      <c r="JS35" s="33"/>
      <c r="JT35" s="33"/>
      <c r="JU35" s="33"/>
      <c r="JV35" s="33"/>
      <c r="JW35" s="33"/>
      <c r="JX35" s="33"/>
      <c r="JY35" s="33"/>
      <c r="JZ35" s="33"/>
      <c r="KA35" s="33"/>
      <c r="KB35" s="33"/>
      <c r="KC35" s="33"/>
      <c r="KD35" s="33"/>
      <c r="KE35" s="33"/>
      <c r="KF35" s="33"/>
      <c r="KG35" s="33"/>
      <c r="KH35" s="33"/>
      <c r="KI35" s="33"/>
      <c r="KJ35" s="33"/>
      <c r="KK35" s="33"/>
      <c r="KL35" s="33"/>
    </row>
    <row r="36" spans="1:298" s="53" customFormat="1">
      <c r="A36" s="54"/>
      <c r="B36" s="51">
        <v>116.7</v>
      </c>
      <c r="C36" s="53">
        <v>9.0950164999999998</v>
      </c>
      <c r="D36" s="53">
        <v>7.3090786999999997</v>
      </c>
      <c r="E36" s="53">
        <v>0.15</v>
      </c>
      <c r="F36" s="76">
        <v>0.15</v>
      </c>
      <c r="G36" s="76">
        <v>0.15</v>
      </c>
      <c r="K36" s="53">
        <v>7.5</v>
      </c>
      <c r="L36" s="53">
        <v>1</v>
      </c>
      <c r="M36" s="53">
        <f t="shared" si="1"/>
        <v>9.0950164999999998</v>
      </c>
      <c r="N36" s="53">
        <f t="shared" si="2"/>
        <v>66.476191376298544</v>
      </c>
      <c r="O36">
        <f t="shared" si="3"/>
        <v>1.3642524750000007</v>
      </c>
      <c r="P36">
        <f t="shared" si="4"/>
        <v>1.3642524750000007</v>
      </c>
      <c r="R36" s="33">
        <f t="shared" si="8"/>
        <v>113.72163248460797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60"/>
      <c r="AL36" s="60"/>
      <c r="AM36" s="8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60"/>
      <c r="CF36" s="60"/>
      <c r="CG36" s="8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  <c r="JB36" s="33"/>
      <c r="JC36" s="33"/>
      <c r="JD36" s="33"/>
      <c r="JE36" s="33"/>
      <c r="JF36" s="33"/>
      <c r="JG36" s="33"/>
      <c r="JH36" s="33"/>
      <c r="JI36" s="33"/>
      <c r="JJ36" s="33"/>
      <c r="JK36" s="33"/>
      <c r="JL36" s="33"/>
      <c r="JM36" s="33"/>
      <c r="JN36" s="33"/>
      <c r="JO36" s="33"/>
      <c r="JP36" s="33"/>
      <c r="JQ36" s="33"/>
      <c r="JR36" s="33"/>
      <c r="JS36" s="33"/>
      <c r="JT36" s="33"/>
      <c r="JU36" s="33"/>
      <c r="JV36" s="33"/>
      <c r="JW36" s="33"/>
      <c r="JX36" s="33"/>
      <c r="JY36" s="33"/>
      <c r="JZ36" s="33"/>
      <c r="KA36" s="33"/>
      <c r="KB36" s="33"/>
      <c r="KC36" s="33"/>
      <c r="KD36" s="33"/>
      <c r="KE36" s="33"/>
      <c r="KF36" s="33"/>
      <c r="KG36" s="33"/>
      <c r="KH36" s="33"/>
      <c r="KI36" s="33"/>
      <c r="KJ36" s="33"/>
      <c r="KK36" s="33"/>
      <c r="KL36" s="33"/>
    </row>
    <row r="37" spans="1:298" s="53" customFormat="1">
      <c r="A37" s="54"/>
      <c r="B37" s="51">
        <v>116.7</v>
      </c>
      <c r="C37" s="53">
        <v>10.678756</v>
      </c>
      <c r="D37" s="53">
        <v>7.7165800000000004</v>
      </c>
      <c r="E37" s="53">
        <v>0.15</v>
      </c>
      <c r="F37" s="76">
        <v>0.15</v>
      </c>
      <c r="G37" s="76">
        <v>0.15</v>
      </c>
      <c r="K37" s="53">
        <v>7.5</v>
      </c>
      <c r="L37" s="53">
        <v>1</v>
      </c>
      <c r="M37" s="53">
        <f t="shared" si="1"/>
        <v>10.678756</v>
      </c>
      <c r="N37" s="53">
        <f t="shared" si="2"/>
        <v>82.403474974480005</v>
      </c>
      <c r="O37">
        <f t="shared" si="3"/>
        <v>1.6018133999999975</v>
      </c>
      <c r="P37">
        <f t="shared" si="4"/>
        <v>1.6018134000000117</v>
      </c>
      <c r="R37" s="33">
        <f t="shared" si="8"/>
        <v>136.29411589193384</v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60"/>
      <c r="AL37" s="60"/>
      <c r="AM37" s="8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60"/>
      <c r="CF37" s="60"/>
      <c r="CG37" s="8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  <c r="JA37" s="33"/>
      <c r="JB37" s="33"/>
      <c r="JC37" s="33"/>
      <c r="JD37" s="33"/>
      <c r="JE37" s="33"/>
      <c r="JF37" s="33"/>
      <c r="JG37" s="33"/>
      <c r="JH37" s="33"/>
      <c r="JI37" s="33"/>
      <c r="JJ37" s="33"/>
      <c r="JK37" s="33"/>
      <c r="JL37" s="33"/>
      <c r="JM37" s="33"/>
      <c r="JN37" s="33"/>
      <c r="JO37" s="33"/>
      <c r="JP37" s="33"/>
      <c r="JQ37" s="33"/>
      <c r="JR37" s="33"/>
      <c r="JS37" s="33"/>
      <c r="JT37" s="33"/>
      <c r="JU37" s="33"/>
      <c r="JV37" s="33"/>
      <c r="JW37" s="33"/>
      <c r="JX37" s="33"/>
      <c r="JY37" s="33"/>
      <c r="JZ37" s="33"/>
      <c r="KA37" s="33"/>
      <c r="KB37" s="33"/>
      <c r="KC37" s="33"/>
      <c r="KD37" s="33"/>
      <c r="KE37" s="33"/>
      <c r="KF37" s="33"/>
      <c r="KG37" s="33"/>
      <c r="KH37" s="33"/>
      <c r="KI37" s="33"/>
      <c r="KJ37" s="33"/>
      <c r="KK37" s="33"/>
      <c r="KL37" s="33"/>
    </row>
    <row r="38" spans="1:298" s="53" customFormat="1">
      <c r="A38" s="54"/>
      <c r="B38" s="51">
        <v>116.7</v>
      </c>
      <c r="C38" s="53">
        <v>10.915095000000001</v>
      </c>
      <c r="D38" s="53">
        <v>7.7398740000000004</v>
      </c>
      <c r="E38" s="53">
        <v>0.15</v>
      </c>
      <c r="F38" s="76">
        <v>0.15</v>
      </c>
      <c r="G38" s="76">
        <v>0.15</v>
      </c>
      <c r="K38" s="53">
        <v>7.5</v>
      </c>
      <c r="L38" s="53">
        <v>1</v>
      </c>
      <c r="M38" s="53">
        <f t="shared" si="1"/>
        <v>10.915095000000001</v>
      </c>
      <c r="N38" s="53">
        <f t="shared" si="2"/>
        <v>84.481459998030004</v>
      </c>
      <c r="O38">
        <f t="shared" si="3"/>
        <v>1.6372642500000154</v>
      </c>
      <c r="P38">
        <f t="shared" si="4"/>
        <v>1.6372642500000012</v>
      </c>
      <c r="R38" s="33">
        <f t="shared" si="8"/>
        <v>139.34792433375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60"/>
      <c r="AL38" s="60"/>
      <c r="AM38" s="8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60"/>
      <c r="CF38" s="60"/>
      <c r="CG38" s="8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</row>
    <row r="39" spans="1:298" s="53" customFormat="1">
      <c r="A39" s="54"/>
      <c r="B39" s="51">
        <v>116.7</v>
      </c>
      <c r="C39" s="53">
        <v>12.815770000000001</v>
      </c>
      <c r="D39" s="53">
        <v>8.146801</v>
      </c>
      <c r="E39" s="53">
        <v>0.15</v>
      </c>
      <c r="F39" s="76">
        <v>0.15</v>
      </c>
      <c r="G39" s="76">
        <v>0.15</v>
      </c>
      <c r="K39" s="53">
        <v>7.5</v>
      </c>
      <c r="L39" s="53">
        <v>1</v>
      </c>
      <c r="M39" s="53">
        <f t="shared" si="1"/>
        <v>12.815770000000001</v>
      </c>
      <c r="N39" s="53">
        <f t="shared" si="2"/>
        <v>104.40752785177</v>
      </c>
      <c r="O39">
        <f t="shared" si="3"/>
        <v>1.9223655000000122</v>
      </c>
      <c r="P39">
        <f t="shared" si="4"/>
        <v>1.922365499999998</v>
      </c>
      <c r="R39" s="33">
        <f t="shared" si="8"/>
        <v>166.99111113575748</v>
      </c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60"/>
      <c r="AL39" s="60"/>
      <c r="AM39" s="8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60"/>
      <c r="CF39" s="60"/>
      <c r="CG39" s="8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  <c r="JB39" s="33"/>
      <c r="JC39" s="33"/>
      <c r="JD39" s="33"/>
      <c r="JE39" s="33"/>
      <c r="JF39" s="33"/>
      <c r="JG39" s="33"/>
      <c r="JH39" s="33"/>
      <c r="JI39" s="33"/>
      <c r="JJ39" s="33"/>
      <c r="JK39" s="33"/>
      <c r="JL39" s="33"/>
      <c r="JM39" s="33"/>
      <c r="JN39" s="33"/>
      <c r="JO39" s="33"/>
      <c r="JP39" s="33"/>
      <c r="JQ39" s="33"/>
      <c r="JR39" s="33"/>
      <c r="JS39" s="33"/>
      <c r="JT39" s="33"/>
      <c r="JU39" s="33"/>
      <c r="JV39" s="33"/>
      <c r="JW39" s="33"/>
      <c r="JX39" s="33"/>
      <c r="JY39" s="33"/>
      <c r="JZ39" s="33"/>
      <c r="KA39" s="33"/>
      <c r="KB39" s="33"/>
      <c r="KC39" s="33"/>
      <c r="KD39" s="33"/>
      <c r="KE39" s="33"/>
      <c r="KF39" s="33"/>
      <c r="KG39" s="33"/>
      <c r="KH39" s="33"/>
      <c r="KI39" s="33"/>
      <c r="KJ39" s="33"/>
      <c r="KK39" s="33"/>
      <c r="KL39" s="33"/>
    </row>
    <row r="40" spans="1:298" s="53" customFormat="1">
      <c r="A40" s="54"/>
      <c r="B40" s="51">
        <v>116.7</v>
      </c>
      <c r="C40" s="53">
        <v>14.807786999999999</v>
      </c>
      <c r="D40" s="53">
        <v>8.5235850000000006</v>
      </c>
      <c r="E40" s="53">
        <v>0.15</v>
      </c>
      <c r="F40" s="76">
        <v>0.15</v>
      </c>
      <c r="G40" s="76">
        <v>0.15</v>
      </c>
      <c r="K40" s="53">
        <v>7.5</v>
      </c>
      <c r="L40" s="53">
        <v>1</v>
      </c>
      <c r="M40" s="53">
        <f t="shared" si="1"/>
        <v>14.807786999999999</v>
      </c>
      <c r="N40" s="53">
        <f t="shared" si="2"/>
        <v>126.215431156395</v>
      </c>
      <c r="O40">
        <f t="shared" si="3"/>
        <v>2.221168050000017</v>
      </c>
      <c r="P40">
        <f t="shared" si="4"/>
        <v>2.2211680500000028</v>
      </c>
      <c r="R40" s="33">
        <f t="shared" si="8"/>
        <v>196.66827387818296</v>
      </c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60"/>
      <c r="AL40" s="60"/>
      <c r="AM40" s="8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60"/>
      <c r="CF40" s="60"/>
      <c r="CG40" s="8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  <c r="JB40" s="33"/>
      <c r="JC40" s="33"/>
      <c r="JD40" s="33"/>
      <c r="JE40" s="33"/>
      <c r="JF40" s="33"/>
      <c r="JG40" s="33"/>
      <c r="JH40" s="33"/>
      <c r="JI40" s="33"/>
      <c r="JJ40" s="33"/>
      <c r="JK40" s="33"/>
      <c r="JL40" s="33"/>
      <c r="JM40" s="33"/>
      <c r="JN40" s="33"/>
      <c r="JO40" s="33"/>
      <c r="JP40" s="33"/>
      <c r="JQ40" s="33"/>
      <c r="JR40" s="33"/>
      <c r="JS40" s="33"/>
      <c r="JT40" s="33"/>
      <c r="JU40" s="33"/>
      <c r="JV40" s="33"/>
      <c r="JW40" s="33"/>
      <c r="JX40" s="33"/>
      <c r="JY40" s="33"/>
      <c r="JZ40" s="33"/>
      <c r="KA40" s="33"/>
      <c r="KB40" s="33"/>
      <c r="KC40" s="33"/>
      <c r="KD40" s="33"/>
      <c r="KE40" s="33"/>
      <c r="KF40" s="33"/>
      <c r="KG40" s="33"/>
      <c r="KH40" s="33"/>
      <c r="KI40" s="33"/>
      <c r="KJ40" s="33"/>
      <c r="KK40" s="33"/>
      <c r="KL40" s="33"/>
    </row>
    <row r="41" spans="1:298">
      <c r="A41" s="47" t="s">
        <v>18</v>
      </c>
      <c r="B41" s="4">
        <v>190</v>
      </c>
      <c r="C41" s="48">
        <v>1.08</v>
      </c>
      <c r="D41" s="48">
        <v>4.9000000000000004</v>
      </c>
      <c r="E41">
        <f>(F41+G41)/2</f>
        <v>1.1000000000000001</v>
      </c>
      <c r="F41">
        <v>1.2</v>
      </c>
      <c r="G41">
        <v>1</v>
      </c>
      <c r="H41" s="48">
        <v>0.13</v>
      </c>
      <c r="I41" s="48">
        <v>0.13</v>
      </c>
      <c r="J41" s="48">
        <v>0.13</v>
      </c>
      <c r="K41">
        <v>10</v>
      </c>
      <c r="L41">
        <v>1</v>
      </c>
      <c r="M41">
        <f t="shared" si="1"/>
        <v>1.08</v>
      </c>
      <c r="N41">
        <f t="shared" si="2"/>
        <v>5.2920000000000007</v>
      </c>
      <c r="O41">
        <f t="shared" si="3"/>
        <v>1.2960000000000003</v>
      </c>
      <c r="P41">
        <f t="shared" si="4"/>
        <v>1.08</v>
      </c>
      <c r="R41" s="33">
        <f>N41-10.633+18.337*M41^0.59509</f>
        <v>13.855339744194278</v>
      </c>
      <c r="AK41" s="60"/>
      <c r="AL41" s="60"/>
      <c r="AM41" s="8"/>
      <c r="CE41" s="60"/>
      <c r="CF41" s="60"/>
      <c r="CG41" s="8"/>
    </row>
    <row r="42" spans="1:298">
      <c r="A42" s="67" t="s">
        <v>70</v>
      </c>
      <c r="B42" s="4">
        <v>190</v>
      </c>
      <c r="C42" s="48">
        <v>1.92</v>
      </c>
      <c r="D42" s="48">
        <v>5.2</v>
      </c>
      <c r="E42">
        <f t="shared" ref="E42:E50" si="9">(F42+G42)/2</f>
        <v>0.5</v>
      </c>
      <c r="F42">
        <v>0.6</v>
      </c>
      <c r="G42">
        <v>0.4</v>
      </c>
      <c r="H42" s="48">
        <v>0.09</v>
      </c>
      <c r="I42" s="48">
        <v>0.09</v>
      </c>
      <c r="J42" s="48">
        <v>0.09</v>
      </c>
      <c r="K42">
        <v>10</v>
      </c>
      <c r="L42">
        <v>1</v>
      </c>
      <c r="M42">
        <f t="shared" si="1"/>
        <v>1.92</v>
      </c>
      <c r="N42">
        <f t="shared" si="2"/>
        <v>9.984</v>
      </c>
      <c r="O42">
        <f t="shared" si="3"/>
        <v>1.1519999999999992</v>
      </c>
      <c r="P42">
        <f t="shared" si="4"/>
        <v>0.76800000000000068</v>
      </c>
      <c r="R42" s="33">
        <f t="shared" ref="R42:R50" si="10">N42-10.633+18.337*M42^0.59509</f>
        <v>26.385479545936299</v>
      </c>
      <c r="AK42" s="60"/>
      <c r="AL42" s="60"/>
      <c r="AM42" s="8"/>
    </row>
    <row r="43" spans="1:298">
      <c r="B43" s="4">
        <v>190</v>
      </c>
      <c r="C43" s="48">
        <v>3.13</v>
      </c>
      <c r="D43" s="48">
        <v>4.9000000000000004</v>
      </c>
      <c r="E43">
        <f t="shared" si="9"/>
        <v>0.45</v>
      </c>
      <c r="F43">
        <v>0.5</v>
      </c>
      <c r="G43">
        <v>0.4</v>
      </c>
      <c r="H43" s="48">
        <v>0.11</v>
      </c>
      <c r="I43" s="48">
        <v>0.11</v>
      </c>
      <c r="J43" s="48">
        <v>0.11</v>
      </c>
      <c r="K43">
        <v>10</v>
      </c>
      <c r="L43">
        <v>1</v>
      </c>
      <c r="M43">
        <f t="shared" si="1"/>
        <v>3.13</v>
      </c>
      <c r="N43">
        <f t="shared" si="2"/>
        <v>15.337</v>
      </c>
      <c r="O43">
        <f t="shared" si="3"/>
        <v>1.5650000000000013</v>
      </c>
      <c r="P43">
        <f t="shared" si="4"/>
        <v>1.2520000000000007</v>
      </c>
      <c r="R43" s="33">
        <f t="shared" si="10"/>
        <v>40.86344573371327</v>
      </c>
      <c r="AK43" s="60"/>
      <c r="AL43" s="60"/>
      <c r="AM43" s="8"/>
    </row>
    <row r="44" spans="1:298">
      <c r="B44" s="4">
        <v>190</v>
      </c>
      <c r="C44" s="48">
        <v>4.45</v>
      </c>
      <c r="D44" s="48">
        <v>6.4</v>
      </c>
      <c r="E44">
        <f t="shared" si="9"/>
        <v>0.4</v>
      </c>
      <c r="F44">
        <v>0.4</v>
      </c>
      <c r="G44">
        <v>0.4</v>
      </c>
      <c r="H44" s="48">
        <v>0.11</v>
      </c>
      <c r="I44" s="48">
        <v>0.11</v>
      </c>
      <c r="J44" s="48">
        <v>0.11</v>
      </c>
      <c r="K44">
        <v>10</v>
      </c>
      <c r="L44">
        <v>1</v>
      </c>
      <c r="M44">
        <f t="shared" si="1"/>
        <v>4.45</v>
      </c>
      <c r="N44">
        <f t="shared" si="2"/>
        <v>28.480000000000004</v>
      </c>
      <c r="O44">
        <f t="shared" si="3"/>
        <v>1.7800000000000011</v>
      </c>
      <c r="P44">
        <f t="shared" si="4"/>
        <v>1.7800000000000011</v>
      </c>
      <c r="R44" s="33">
        <f t="shared" si="10"/>
        <v>62.42913307938305</v>
      </c>
      <c r="AK44" s="60"/>
      <c r="AL44" s="60"/>
      <c r="AM44" s="8"/>
    </row>
    <row r="45" spans="1:298">
      <c r="B45" s="4">
        <v>190</v>
      </c>
      <c r="C45" s="48">
        <v>5.89</v>
      </c>
      <c r="D45" s="48">
        <v>6.1</v>
      </c>
      <c r="E45">
        <f t="shared" si="9"/>
        <v>0.35</v>
      </c>
      <c r="F45">
        <v>0.4</v>
      </c>
      <c r="G45">
        <v>0.3</v>
      </c>
      <c r="H45" s="48">
        <v>0.13</v>
      </c>
      <c r="I45" s="48">
        <v>0.13</v>
      </c>
      <c r="J45" s="48">
        <v>0.13</v>
      </c>
      <c r="K45">
        <v>10</v>
      </c>
      <c r="L45">
        <v>1</v>
      </c>
      <c r="M45">
        <f t="shared" si="1"/>
        <v>5.89</v>
      </c>
      <c r="N45">
        <f t="shared" si="2"/>
        <v>35.928999999999995</v>
      </c>
      <c r="O45">
        <f t="shared" si="3"/>
        <v>2.3560000000000016</v>
      </c>
      <c r="P45">
        <f t="shared" si="4"/>
        <v>1.7669999999999959</v>
      </c>
      <c r="R45" s="33">
        <f t="shared" si="10"/>
        <v>77.972413211582278</v>
      </c>
      <c r="AT45" s="4"/>
      <c r="AU45" s="4"/>
    </row>
    <row r="46" spans="1:298">
      <c r="B46" s="4">
        <v>190</v>
      </c>
      <c r="C46" s="48">
        <v>7.44</v>
      </c>
      <c r="D46" s="48">
        <v>7.4</v>
      </c>
      <c r="E46">
        <f t="shared" si="9"/>
        <v>0.4</v>
      </c>
      <c r="F46">
        <v>0.4</v>
      </c>
      <c r="G46">
        <v>0.4</v>
      </c>
      <c r="H46" s="48">
        <v>0.17</v>
      </c>
      <c r="I46" s="48">
        <v>0.17</v>
      </c>
      <c r="J46" s="48">
        <v>0.17</v>
      </c>
      <c r="K46">
        <v>10</v>
      </c>
      <c r="L46">
        <v>1</v>
      </c>
      <c r="M46">
        <f t="shared" si="1"/>
        <v>7.44</v>
      </c>
      <c r="N46">
        <f t="shared" si="2"/>
        <v>55.056000000000004</v>
      </c>
      <c r="O46">
        <f t="shared" si="3"/>
        <v>2.9760000000000062</v>
      </c>
      <c r="P46">
        <f t="shared" si="4"/>
        <v>2.9759999999999991</v>
      </c>
      <c r="R46" s="33">
        <f t="shared" si="10"/>
        <v>104.95605926971783</v>
      </c>
      <c r="AT46" s="4"/>
      <c r="AU46" s="4"/>
    </row>
    <row r="47" spans="1:298">
      <c r="B47" s="4">
        <v>190</v>
      </c>
      <c r="C47" s="48">
        <v>9.1</v>
      </c>
      <c r="D47" s="48">
        <v>7.9</v>
      </c>
      <c r="E47">
        <f t="shared" si="9"/>
        <v>0.4</v>
      </c>
      <c r="F47">
        <v>0.4</v>
      </c>
      <c r="G47">
        <v>0.4</v>
      </c>
      <c r="H47" s="48">
        <v>0.2</v>
      </c>
      <c r="I47" s="48">
        <v>0.2</v>
      </c>
      <c r="J47" s="48">
        <v>0.2</v>
      </c>
      <c r="K47">
        <v>10</v>
      </c>
      <c r="L47">
        <v>1</v>
      </c>
      <c r="M47">
        <f t="shared" si="1"/>
        <v>9.1</v>
      </c>
      <c r="N47">
        <f t="shared" si="2"/>
        <v>71.89</v>
      </c>
      <c r="O47">
        <f t="shared" si="3"/>
        <v>3.6400000000000006</v>
      </c>
      <c r="P47">
        <f t="shared" si="4"/>
        <v>3.6400000000000006</v>
      </c>
      <c r="R47" s="33">
        <f t="shared" si="10"/>
        <v>129.49781848412744</v>
      </c>
    </row>
    <row r="48" spans="1:298">
      <c r="B48" s="4">
        <v>190</v>
      </c>
      <c r="C48" s="48">
        <v>10.9</v>
      </c>
      <c r="D48" s="48">
        <v>8.1</v>
      </c>
      <c r="E48">
        <f t="shared" si="9"/>
        <v>0.45</v>
      </c>
      <c r="F48">
        <v>0.4</v>
      </c>
      <c r="G48">
        <v>0.5</v>
      </c>
      <c r="H48" s="48">
        <v>0.3</v>
      </c>
      <c r="I48" s="48">
        <v>0.3</v>
      </c>
      <c r="J48" s="48">
        <v>0.3</v>
      </c>
      <c r="K48">
        <v>10</v>
      </c>
      <c r="L48">
        <v>1</v>
      </c>
      <c r="M48">
        <f t="shared" si="1"/>
        <v>10.9</v>
      </c>
      <c r="N48">
        <f t="shared" si="2"/>
        <v>88.289999999999992</v>
      </c>
      <c r="O48">
        <f t="shared" si="3"/>
        <v>4.3600000000000136</v>
      </c>
      <c r="P48">
        <f t="shared" si="4"/>
        <v>5.4499999999999886</v>
      </c>
      <c r="R48" s="33">
        <f t="shared" si="10"/>
        <v>153.63544828036748</v>
      </c>
      <c r="CE48" s="60"/>
      <c r="CF48" s="60"/>
      <c r="CG48" s="8"/>
    </row>
    <row r="49" spans="1:298">
      <c r="B49" s="4">
        <v>190</v>
      </c>
      <c r="C49" s="48">
        <v>12.8</v>
      </c>
      <c r="D49" s="48">
        <v>8.9</v>
      </c>
      <c r="E49">
        <f t="shared" si="9"/>
        <v>0.5</v>
      </c>
      <c r="F49">
        <v>0.6</v>
      </c>
      <c r="G49">
        <v>0.4</v>
      </c>
      <c r="H49" s="48">
        <v>0.3</v>
      </c>
      <c r="I49" s="48">
        <v>0.3</v>
      </c>
      <c r="J49" s="48">
        <v>0.3</v>
      </c>
      <c r="K49">
        <v>10</v>
      </c>
      <c r="L49">
        <v>1</v>
      </c>
      <c r="M49">
        <f t="shared" si="1"/>
        <v>12.8</v>
      </c>
      <c r="N49">
        <f t="shared" si="2"/>
        <v>113.92000000000002</v>
      </c>
      <c r="O49">
        <f t="shared" si="3"/>
        <v>7.6799999999999926</v>
      </c>
      <c r="P49">
        <f t="shared" si="4"/>
        <v>5.1200000000000045</v>
      </c>
      <c r="R49" s="33">
        <f t="shared" si="10"/>
        <v>186.88923074883218</v>
      </c>
      <c r="CE49" s="60"/>
      <c r="CF49" s="60"/>
      <c r="CG49" s="8"/>
    </row>
    <row r="50" spans="1:298">
      <c r="B50" s="4">
        <v>190</v>
      </c>
      <c r="C50" s="48">
        <v>74.152600000000007</v>
      </c>
      <c r="D50" s="48">
        <v>14</v>
      </c>
      <c r="E50">
        <f t="shared" si="9"/>
        <v>1.9430407342999998</v>
      </c>
      <c r="F50">
        <v>1.1401754251</v>
      </c>
      <c r="G50">
        <v>2.7459060434999998</v>
      </c>
      <c r="H50" s="48">
        <v>0</v>
      </c>
      <c r="I50" s="48">
        <v>0</v>
      </c>
      <c r="J50" s="48">
        <v>0</v>
      </c>
      <c r="K50">
        <v>10</v>
      </c>
      <c r="L50">
        <v>1</v>
      </c>
      <c r="M50">
        <f t="shared" si="1"/>
        <v>74.152600000000007</v>
      </c>
      <c r="N50">
        <f t="shared" si="2"/>
        <v>1038.1364000000001</v>
      </c>
      <c r="O50">
        <f t="shared" si="3"/>
        <v>84.546972227270317</v>
      </c>
      <c r="P50">
        <f t="shared" si="4"/>
        <v>203.61607248123812</v>
      </c>
      <c r="R50" s="33">
        <f t="shared" si="10"/>
        <v>1265.3088449996649</v>
      </c>
      <c r="CE50" s="60"/>
      <c r="CF50" s="60"/>
      <c r="CG50" s="8"/>
    </row>
    <row r="51" spans="1:298" s="53" customFormat="1">
      <c r="A51" s="55" t="s">
        <v>19</v>
      </c>
      <c r="B51" s="51">
        <v>190</v>
      </c>
      <c r="C51" s="51">
        <v>4.95</v>
      </c>
      <c r="D51" s="51">
        <v>8.3000000000000007</v>
      </c>
      <c r="E51" s="51">
        <v>0.5</v>
      </c>
      <c r="F51" s="51">
        <v>0.5</v>
      </c>
      <c r="G51" s="51">
        <v>0.5</v>
      </c>
      <c r="H51" s="51">
        <v>0.83</v>
      </c>
      <c r="I51" s="51">
        <v>0.83</v>
      </c>
      <c r="J51" s="51">
        <v>0.83</v>
      </c>
      <c r="K51" s="53">
        <v>0</v>
      </c>
      <c r="L51" s="53">
        <v>1</v>
      </c>
      <c r="M51" s="53">
        <f t="shared" si="1"/>
        <v>4.95</v>
      </c>
      <c r="N51" s="53">
        <f t="shared" si="2"/>
        <v>41.085000000000008</v>
      </c>
      <c r="O51">
        <f t="shared" si="3"/>
        <v>2.4749999999999943</v>
      </c>
      <c r="P51">
        <f t="shared" si="4"/>
        <v>2.4750000000000014</v>
      </c>
      <c r="R51" s="33">
        <f>N51+Qy!R56</f>
        <v>70.284261510746973</v>
      </c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60"/>
      <c r="CF51" s="60"/>
      <c r="CG51" s="8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</row>
    <row r="52" spans="1:298" s="53" customFormat="1">
      <c r="A52" s="65" t="s">
        <v>79</v>
      </c>
      <c r="B52" s="51">
        <v>190</v>
      </c>
      <c r="C52" s="51">
        <v>6.6</v>
      </c>
      <c r="D52" s="51">
        <v>8.3000000000000007</v>
      </c>
      <c r="E52" s="51">
        <v>0.3</v>
      </c>
      <c r="F52" s="51">
        <v>0.3</v>
      </c>
      <c r="G52" s="51">
        <v>0.3</v>
      </c>
      <c r="H52" s="51">
        <v>1.52</v>
      </c>
      <c r="I52" s="51">
        <v>1.52</v>
      </c>
      <c r="J52" s="51">
        <v>1.52</v>
      </c>
      <c r="K52" s="53">
        <v>0</v>
      </c>
      <c r="L52" s="53">
        <v>1</v>
      </c>
      <c r="M52" s="53">
        <f t="shared" si="1"/>
        <v>6.6</v>
      </c>
      <c r="N52" s="53">
        <f t="shared" si="2"/>
        <v>54.78</v>
      </c>
      <c r="O52">
        <f t="shared" si="3"/>
        <v>1.980000000000004</v>
      </c>
      <c r="P52">
        <f t="shared" si="4"/>
        <v>1.980000000000004</v>
      </c>
      <c r="R52" s="33">
        <f>N52+Qy!R57</f>
        <v>93.052478364368895</v>
      </c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60"/>
      <c r="CF52" s="60"/>
      <c r="CG52" s="8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</row>
    <row r="53" spans="1:298" s="53" customFormat="1">
      <c r="A53" s="54"/>
      <c r="B53" s="51">
        <v>190</v>
      </c>
      <c r="C53" s="51">
        <v>10.62</v>
      </c>
      <c r="D53" s="51">
        <v>8.6</v>
      </c>
      <c r="E53" s="51">
        <v>0.3</v>
      </c>
      <c r="F53" s="51">
        <v>0.3</v>
      </c>
      <c r="G53" s="51">
        <v>0.3</v>
      </c>
      <c r="H53" s="51">
        <v>1.54</v>
      </c>
      <c r="I53" s="51">
        <v>1.54</v>
      </c>
      <c r="J53" s="51">
        <v>1.54</v>
      </c>
      <c r="K53" s="53">
        <v>0</v>
      </c>
      <c r="L53" s="53">
        <v>1</v>
      </c>
      <c r="M53" s="53">
        <f t="shared" si="1"/>
        <v>10.62</v>
      </c>
      <c r="N53" s="53">
        <f t="shared" si="2"/>
        <v>91.331999999999994</v>
      </c>
      <c r="O53">
        <f t="shared" si="3"/>
        <v>3.186000000000007</v>
      </c>
      <c r="P53">
        <f t="shared" si="4"/>
        <v>3.186000000000007</v>
      </c>
      <c r="R53" s="33">
        <f>N53+Qy!R58</f>
        <v>151.85410567682095</v>
      </c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60"/>
      <c r="CF53" s="60"/>
      <c r="CG53" s="8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33"/>
      <c r="JT53" s="33"/>
      <c r="JU53" s="33"/>
      <c r="JV53" s="33"/>
      <c r="JW53" s="33"/>
      <c r="JX53" s="33"/>
      <c r="JY53" s="33"/>
      <c r="JZ53" s="33"/>
      <c r="KA53" s="33"/>
      <c r="KB53" s="33"/>
      <c r="KC53" s="33"/>
      <c r="KD53" s="33"/>
      <c r="KE53" s="33"/>
      <c r="KF53" s="33"/>
      <c r="KG53" s="33"/>
      <c r="KH53" s="33"/>
      <c r="KI53" s="33"/>
      <c r="KJ53" s="33"/>
      <c r="KK53" s="33"/>
      <c r="KL53" s="33"/>
    </row>
    <row r="54" spans="1:298" s="53" customFormat="1">
      <c r="A54" s="54"/>
      <c r="B54" s="51">
        <v>190</v>
      </c>
      <c r="C54" s="51">
        <v>13.95</v>
      </c>
      <c r="D54" s="51">
        <v>10.4</v>
      </c>
      <c r="E54" s="51">
        <v>0.3</v>
      </c>
      <c r="F54" s="51">
        <v>0.3</v>
      </c>
      <c r="G54" s="51">
        <v>0.3</v>
      </c>
      <c r="H54" s="51">
        <v>2.46</v>
      </c>
      <c r="I54" s="51">
        <v>2.46</v>
      </c>
      <c r="J54" s="51">
        <v>2.46</v>
      </c>
      <c r="K54" s="53">
        <v>0</v>
      </c>
      <c r="L54" s="53">
        <v>1</v>
      </c>
      <c r="M54" s="53">
        <f t="shared" si="1"/>
        <v>13.95</v>
      </c>
      <c r="N54" s="53">
        <f t="shared" si="2"/>
        <v>145.07999999999998</v>
      </c>
      <c r="O54">
        <f t="shared" si="3"/>
        <v>4.1850000000000307</v>
      </c>
      <c r="P54">
        <f t="shared" si="4"/>
        <v>4.1850000000000023</v>
      </c>
      <c r="R54" s="33">
        <f>N54+Qy!R59</f>
        <v>231.55300558344476</v>
      </c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60"/>
      <c r="CF54" s="60"/>
      <c r="CG54" s="8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  <c r="JB54" s="33"/>
      <c r="JC54" s="33"/>
      <c r="JD54" s="33"/>
      <c r="JE54" s="33"/>
      <c r="JF54" s="33"/>
      <c r="JG54" s="33"/>
      <c r="JH54" s="33"/>
      <c r="JI54" s="33"/>
      <c r="JJ54" s="33"/>
      <c r="JK54" s="33"/>
      <c r="JL54" s="33"/>
      <c r="JM54" s="33"/>
      <c r="JN54" s="33"/>
      <c r="JO54" s="33"/>
      <c r="JP54" s="33"/>
      <c r="JQ54" s="33"/>
      <c r="JR54" s="33"/>
      <c r="JS54" s="33"/>
      <c r="JT54" s="33"/>
      <c r="JU54" s="33"/>
      <c r="JV54" s="33"/>
      <c r="JW54" s="33"/>
      <c r="JX54" s="33"/>
      <c r="JY54" s="33"/>
      <c r="JZ54" s="33"/>
      <c r="KA54" s="33"/>
      <c r="KB54" s="33"/>
      <c r="KC54" s="33"/>
      <c r="KD54" s="33"/>
      <c r="KE54" s="33"/>
      <c r="KF54" s="33"/>
      <c r="KG54" s="33"/>
      <c r="KH54" s="33"/>
      <c r="KI54" s="33"/>
      <c r="KJ54" s="33"/>
      <c r="KK54" s="33"/>
      <c r="KL54" s="33"/>
    </row>
    <row r="55" spans="1:298">
      <c r="A55" s="47" t="s">
        <v>24</v>
      </c>
      <c r="B55" s="4">
        <v>395.7</v>
      </c>
      <c r="C55">
        <v>0.33941125999999999</v>
      </c>
      <c r="D55">
        <f>64*0.019565217</f>
        <v>1.252173888</v>
      </c>
      <c r="E55">
        <f>0.2*D55</f>
        <v>0.25043477759999999</v>
      </c>
      <c r="F55" s="7">
        <v>0.25043477800000002</v>
      </c>
      <c r="G55" s="7">
        <v>0.25043477800000002</v>
      </c>
      <c r="K55">
        <v>3.7</v>
      </c>
      <c r="L55" s="5">
        <v>0.83</v>
      </c>
      <c r="M55">
        <f t="shared" si="1"/>
        <v>0.33941125999999999</v>
      </c>
      <c r="N55">
        <f t="shared" si="2"/>
        <v>0.35275159116409843</v>
      </c>
      <c r="O55">
        <f t="shared" si="3"/>
        <v>7.0550318345504182E-2</v>
      </c>
      <c r="P55">
        <f t="shared" si="4"/>
        <v>7.0550318345504237E-2</v>
      </c>
      <c r="CE55" s="60"/>
      <c r="CF55" s="60"/>
      <c r="CG55" s="8"/>
    </row>
    <row r="56" spans="1:298">
      <c r="A56" s="11" t="s">
        <v>69</v>
      </c>
      <c r="B56" s="4">
        <v>395.7</v>
      </c>
      <c r="C56">
        <v>1.0858109</v>
      </c>
      <c r="D56">
        <f>64*0.048550725</f>
        <v>3.1072464000000002</v>
      </c>
      <c r="E56">
        <f t="shared" ref="E56:E66" si="11">0.15*D56</f>
        <v>0.46608695999999999</v>
      </c>
      <c r="F56" s="7">
        <v>0.46608695999999999</v>
      </c>
      <c r="G56" s="7">
        <v>0.46608695999999999</v>
      </c>
      <c r="K56">
        <v>3.7</v>
      </c>
      <c r="L56" s="5">
        <v>0.83</v>
      </c>
      <c r="M56">
        <f t="shared" si="1"/>
        <v>1.0858109</v>
      </c>
      <c r="N56">
        <f t="shared" si="2"/>
        <v>2.8003220683877807</v>
      </c>
      <c r="O56">
        <f t="shared" si="3"/>
        <v>0.42004831025816713</v>
      </c>
      <c r="P56">
        <f t="shared" si="4"/>
        <v>0.42004831025816713</v>
      </c>
      <c r="CE56" s="60"/>
      <c r="CF56" s="60"/>
      <c r="CG56" s="8"/>
    </row>
    <row r="57" spans="1:298">
      <c r="A57" s="9" t="s">
        <v>81</v>
      </c>
      <c r="B57" s="4">
        <v>395.7</v>
      </c>
      <c r="C57">
        <v>1.9222014000000001</v>
      </c>
      <c r="D57">
        <f>64*0.07137681</f>
        <v>4.5681158399999999</v>
      </c>
      <c r="E57">
        <f t="shared" si="11"/>
        <v>0.68521737599999999</v>
      </c>
      <c r="F57" s="7">
        <v>0.68521737599999999</v>
      </c>
      <c r="G57" s="7">
        <v>0.68521737599999999</v>
      </c>
      <c r="K57">
        <v>3.7</v>
      </c>
      <c r="L57" s="5">
        <v>0.83</v>
      </c>
      <c r="M57">
        <f t="shared" si="1"/>
        <v>1.9222014000000001</v>
      </c>
      <c r="N57">
        <f t="shared" si="2"/>
        <v>7.2880960902984455</v>
      </c>
      <c r="O57">
        <f t="shared" si="3"/>
        <v>1.0932144135447661</v>
      </c>
      <c r="P57">
        <f t="shared" si="4"/>
        <v>1.0932144135447661</v>
      </c>
      <c r="CE57" s="60"/>
      <c r="CF57" s="60"/>
      <c r="CG57" s="8"/>
    </row>
    <row r="58" spans="1:298">
      <c r="B58" s="4">
        <v>395.7</v>
      </c>
      <c r="C58">
        <v>3.1339307000000001</v>
      </c>
      <c r="D58">
        <f>64*0.092391305</f>
        <v>5.9130435200000004</v>
      </c>
      <c r="E58">
        <f t="shared" si="11"/>
        <v>0.88695652800000002</v>
      </c>
      <c r="F58" s="7">
        <v>0.88695652800000002</v>
      </c>
      <c r="G58" s="7">
        <v>0.88695652800000002</v>
      </c>
      <c r="K58">
        <v>3.7</v>
      </c>
      <c r="L58" s="5">
        <v>0.83</v>
      </c>
      <c r="M58">
        <f t="shared" si="1"/>
        <v>3.1339307000000001</v>
      </c>
      <c r="N58">
        <f t="shared" si="2"/>
        <v>15.380786952744176</v>
      </c>
      <c r="O58">
        <f t="shared" si="3"/>
        <v>2.3071180429116236</v>
      </c>
      <c r="P58">
        <f t="shared" si="4"/>
        <v>2.3071180429116271</v>
      </c>
    </row>
    <row r="59" spans="1:298">
      <c r="B59" s="4">
        <v>395.7</v>
      </c>
      <c r="C59">
        <v>4.4467699999999999</v>
      </c>
      <c r="D59">
        <f>64*0.108333334</f>
        <v>6.9333333760000002</v>
      </c>
      <c r="E59">
        <f t="shared" si="11"/>
        <v>1.0400000063999999</v>
      </c>
      <c r="F59" s="7">
        <v>1.0400000060000001</v>
      </c>
      <c r="G59" s="7">
        <v>1.0400000060000001</v>
      </c>
      <c r="K59">
        <v>3.7</v>
      </c>
      <c r="L59" s="5">
        <v>0.83</v>
      </c>
      <c r="M59">
        <f t="shared" si="1"/>
        <v>4.4467699999999999</v>
      </c>
      <c r="N59">
        <f t="shared" si="2"/>
        <v>25.589679250808281</v>
      </c>
      <c r="O59">
        <f t="shared" si="3"/>
        <v>3.8384518861449131</v>
      </c>
      <c r="P59">
        <f t="shared" si="4"/>
        <v>3.8384518861449131</v>
      </c>
    </row>
    <row r="60" spans="1:298">
      <c r="B60" s="4">
        <v>395.7</v>
      </c>
      <c r="C60">
        <v>5.7514390000000004</v>
      </c>
      <c r="D60">
        <f>64*0.11847826</f>
        <v>7.5826086400000001</v>
      </c>
      <c r="E60">
        <f t="shared" si="11"/>
        <v>1.1373912959999999</v>
      </c>
      <c r="F60" s="7">
        <v>1.1373912960000001</v>
      </c>
      <c r="G60" s="7">
        <v>1.1373912960000001</v>
      </c>
      <c r="K60">
        <v>3.7</v>
      </c>
      <c r="L60" s="5">
        <v>0.83</v>
      </c>
      <c r="M60">
        <f t="shared" si="1"/>
        <v>5.7514390000000004</v>
      </c>
      <c r="N60">
        <f t="shared" si="2"/>
        <v>36.197056174681357</v>
      </c>
      <c r="O60">
        <f t="shared" si="3"/>
        <v>5.4295584262022061</v>
      </c>
      <c r="P60">
        <f t="shared" si="4"/>
        <v>5.4295584262022061</v>
      </c>
    </row>
    <row r="61" spans="1:298">
      <c r="B61" s="4">
        <v>395.7</v>
      </c>
      <c r="C61">
        <v>7.4388943000000003</v>
      </c>
      <c r="D61">
        <f>64*0.12826087</f>
        <v>8.2086956799999999</v>
      </c>
      <c r="E61">
        <f t="shared" si="11"/>
        <v>1.231304352</v>
      </c>
      <c r="F61" s="7">
        <v>1.231304352</v>
      </c>
      <c r="G61" s="7">
        <v>1.231304352</v>
      </c>
      <c r="K61">
        <v>3.7</v>
      </c>
      <c r="L61" s="5">
        <v>0.83</v>
      </c>
      <c r="M61">
        <f t="shared" si="1"/>
        <v>7.4388943000000003</v>
      </c>
      <c r="N61">
        <f t="shared" si="2"/>
        <v>50.682804188640901</v>
      </c>
      <c r="O61">
        <f t="shared" si="3"/>
        <v>7.6024206282961373</v>
      </c>
      <c r="P61">
        <f t="shared" si="4"/>
        <v>7.6024206282961444</v>
      </c>
    </row>
    <row r="62" spans="1:298">
      <c r="B62" s="4">
        <v>395.7</v>
      </c>
      <c r="C62">
        <v>9.0919950000000007</v>
      </c>
      <c r="D62">
        <f>64*0.13695653</f>
        <v>8.7652179199999996</v>
      </c>
      <c r="E62">
        <f t="shared" si="11"/>
        <v>1.314782688</v>
      </c>
      <c r="F62" s="7">
        <v>1.314782688</v>
      </c>
      <c r="G62" s="7">
        <v>1.314782688</v>
      </c>
      <c r="K62">
        <v>3.7</v>
      </c>
      <c r="L62" s="5">
        <v>0.83</v>
      </c>
      <c r="M62">
        <f t="shared" si="1"/>
        <v>9.0919950000000007</v>
      </c>
      <c r="N62">
        <f t="shared" si="2"/>
        <v>66.145453527116828</v>
      </c>
      <c r="O62">
        <f t="shared" si="3"/>
        <v>9.9218180290675235</v>
      </c>
      <c r="P62">
        <f t="shared" si="4"/>
        <v>9.9218180290675235</v>
      </c>
      <c r="T62" s="59"/>
      <c r="X62" s="59"/>
      <c r="AB62" s="59"/>
    </row>
    <row r="63" spans="1:298">
      <c r="B63" s="4">
        <v>395.7</v>
      </c>
      <c r="C63">
        <v>10.998685999999999</v>
      </c>
      <c r="D63">
        <f>64*0.14347826</f>
        <v>9.1826086399999998</v>
      </c>
      <c r="E63">
        <f t="shared" si="11"/>
        <v>1.3773912959999999</v>
      </c>
      <c r="F63" s="7">
        <v>1.3773912960000001</v>
      </c>
      <c r="G63" s="7">
        <v>1.3773912960000001</v>
      </c>
      <c r="K63">
        <v>3.7</v>
      </c>
      <c r="L63" s="5">
        <v>0.83</v>
      </c>
      <c r="M63">
        <f t="shared" si="1"/>
        <v>10.998685999999999</v>
      </c>
      <c r="N63">
        <f t="shared" si="2"/>
        <v>83.827202146565028</v>
      </c>
      <c r="O63">
        <f t="shared" si="3"/>
        <v>12.574080321984766</v>
      </c>
      <c r="P63">
        <f t="shared" si="4"/>
        <v>12.574080321984752</v>
      </c>
    </row>
    <row r="64" spans="1:298">
      <c r="B64" s="4">
        <v>395.7</v>
      </c>
      <c r="C64">
        <v>12.768658</v>
      </c>
      <c r="D64">
        <f>64*0.14818841</f>
        <v>9.4840582399999995</v>
      </c>
      <c r="E64">
        <f t="shared" si="11"/>
        <v>1.4226087359999999</v>
      </c>
      <c r="F64" s="7">
        <v>1.4226087359999999</v>
      </c>
      <c r="G64" s="7">
        <v>1.4226087359999999</v>
      </c>
      <c r="K64">
        <v>3.7</v>
      </c>
      <c r="L64" s="5">
        <v>0.83</v>
      </c>
      <c r="M64">
        <f t="shared" si="1"/>
        <v>12.768658</v>
      </c>
      <c r="N64">
        <f t="shared" si="2"/>
        <v>100.51191777847278</v>
      </c>
      <c r="O64">
        <f t="shared" si="3"/>
        <v>15.07678766677094</v>
      </c>
      <c r="P64">
        <f t="shared" si="4"/>
        <v>15.076787666770912</v>
      </c>
    </row>
    <row r="65" spans="1:298">
      <c r="B65" s="4">
        <v>395.7</v>
      </c>
      <c r="C65">
        <v>74.580569999999994</v>
      </c>
      <c r="D65">
        <f>64*0.20362319</f>
        <v>13.031884160000001</v>
      </c>
      <c r="E65">
        <f t="shared" si="11"/>
        <v>1.9547826239999999</v>
      </c>
      <c r="F65" s="7">
        <v>1.9547826239999999</v>
      </c>
      <c r="G65" s="7">
        <v>1.9547826239999999</v>
      </c>
      <c r="K65">
        <v>3.7</v>
      </c>
      <c r="L65" s="5">
        <v>0.83</v>
      </c>
      <c r="M65">
        <f t="shared" si="1"/>
        <v>74.580569999999994</v>
      </c>
      <c r="N65">
        <f t="shared" si="2"/>
        <v>806.69803952621999</v>
      </c>
      <c r="O65">
        <f t="shared" si="3"/>
        <v>121.00470592893305</v>
      </c>
      <c r="P65">
        <f t="shared" si="4"/>
        <v>121.00470592893294</v>
      </c>
    </row>
    <row r="66" spans="1:298">
      <c r="B66" s="4">
        <v>395.7</v>
      </c>
      <c r="C66">
        <v>92.572174000000004</v>
      </c>
      <c r="D66">
        <f>64*0.20688406</f>
        <v>13.240579840000001</v>
      </c>
      <c r="E66">
        <f t="shared" si="11"/>
        <v>1.9860869759999999</v>
      </c>
      <c r="F66" s="7">
        <v>1.9860869759999999</v>
      </c>
      <c r="G66" s="7">
        <v>1.9860869759999999</v>
      </c>
      <c r="K66">
        <v>3.7</v>
      </c>
      <c r="L66" s="5">
        <v>0.83</v>
      </c>
      <c r="M66">
        <f t="shared" si="1"/>
        <v>92.572174000000004</v>
      </c>
      <c r="N66">
        <f t="shared" si="2"/>
        <v>1017.3386864717788</v>
      </c>
      <c r="O66">
        <f t="shared" si="3"/>
        <v>152.60080297076706</v>
      </c>
      <c r="P66">
        <f t="shared" si="4"/>
        <v>152.60080297076672</v>
      </c>
    </row>
    <row r="67" spans="1:298" s="53" customFormat="1">
      <c r="A67" s="55" t="s">
        <v>19</v>
      </c>
      <c r="B67" s="51">
        <v>490</v>
      </c>
      <c r="C67" s="51">
        <v>4.95</v>
      </c>
      <c r="D67" s="51">
        <v>7.3</v>
      </c>
      <c r="E67" s="51">
        <v>0.7</v>
      </c>
      <c r="F67" s="76">
        <v>0.7</v>
      </c>
      <c r="G67" s="76">
        <v>0.7</v>
      </c>
      <c r="H67" s="51">
        <v>0.83</v>
      </c>
      <c r="I67" s="51">
        <v>0.83</v>
      </c>
      <c r="J67" s="51">
        <v>0.83</v>
      </c>
      <c r="K67" s="53">
        <v>0</v>
      </c>
      <c r="L67" s="53">
        <v>1</v>
      </c>
      <c r="M67" s="53">
        <f t="shared" si="1"/>
        <v>4.95</v>
      </c>
      <c r="N67" s="53">
        <f t="shared" si="2"/>
        <v>36.134999999999998</v>
      </c>
      <c r="O67">
        <f t="shared" ref="O67:O130" si="12">C67*(D67+F67)*L67-N67</f>
        <v>3.4650000000000034</v>
      </c>
      <c r="P67">
        <f t="shared" ref="P67:P130" si="13">N67-C67*(D67-G67)*L67</f>
        <v>3.4649999999999963</v>
      </c>
      <c r="R67" s="33">
        <f>N67+Qy!R107</f>
        <v>67.808775198098402</v>
      </c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  <c r="JB67" s="33"/>
      <c r="JC67" s="33"/>
      <c r="JD67" s="33"/>
      <c r="JE67" s="33"/>
      <c r="JF67" s="33"/>
      <c r="JG67" s="33"/>
      <c r="JH67" s="33"/>
      <c r="JI67" s="33"/>
      <c r="JJ67" s="33"/>
      <c r="JK67" s="33"/>
      <c r="JL67" s="33"/>
      <c r="JM67" s="33"/>
      <c r="JN67" s="33"/>
      <c r="JO67" s="33"/>
      <c r="JP67" s="33"/>
      <c r="JQ67" s="33"/>
      <c r="JR67" s="33"/>
      <c r="JS67" s="33"/>
      <c r="JT67" s="33"/>
      <c r="JU67" s="33"/>
      <c r="JV67" s="33"/>
      <c r="JW67" s="33"/>
      <c r="JX67" s="33"/>
      <c r="JY67" s="33"/>
      <c r="JZ67" s="33"/>
      <c r="KA67" s="33"/>
      <c r="KB67" s="33"/>
      <c r="KC67" s="33"/>
      <c r="KD67" s="33"/>
      <c r="KE67" s="33"/>
      <c r="KF67" s="33"/>
      <c r="KG67" s="33"/>
      <c r="KH67" s="33"/>
      <c r="KI67" s="33"/>
      <c r="KJ67" s="33"/>
      <c r="KK67" s="33"/>
      <c r="KL67" s="33"/>
    </row>
    <row r="68" spans="1:298" s="53" customFormat="1">
      <c r="A68" s="65" t="s">
        <v>79</v>
      </c>
      <c r="B68" s="51">
        <v>490</v>
      </c>
      <c r="C68" s="51">
        <v>6.6</v>
      </c>
      <c r="D68" s="51">
        <v>8.6999999999999993</v>
      </c>
      <c r="E68" s="51">
        <v>0.3</v>
      </c>
      <c r="F68" s="76">
        <v>0.3</v>
      </c>
      <c r="G68" s="76">
        <v>0.3</v>
      </c>
      <c r="H68" s="51">
        <v>1.52</v>
      </c>
      <c r="I68" s="51">
        <v>1.52</v>
      </c>
      <c r="J68" s="51">
        <v>1.52</v>
      </c>
      <c r="K68" s="53">
        <v>0</v>
      </c>
      <c r="L68" s="53">
        <v>1</v>
      </c>
      <c r="M68" s="53">
        <f t="shared" si="1"/>
        <v>6.6</v>
      </c>
      <c r="N68" s="53">
        <f t="shared" si="2"/>
        <v>57.419999999999995</v>
      </c>
      <c r="O68">
        <f t="shared" si="12"/>
        <v>1.980000000000004</v>
      </c>
      <c r="P68">
        <f t="shared" si="13"/>
        <v>1.980000000000004</v>
      </c>
      <c r="R68" s="33">
        <f>N68+Qy!R108</f>
        <v>97.012218997622995</v>
      </c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  <c r="JB68" s="33"/>
      <c r="JC68" s="33"/>
      <c r="JD68" s="33"/>
      <c r="JE68" s="33"/>
      <c r="JF68" s="33"/>
      <c r="JG68" s="33"/>
      <c r="JH68" s="33"/>
      <c r="JI68" s="33"/>
      <c r="JJ68" s="33"/>
      <c r="JK68" s="33"/>
      <c r="JL68" s="33"/>
      <c r="JM68" s="33"/>
      <c r="JN68" s="33"/>
      <c r="JO68" s="33"/>
      <c r="JP68" s="33"/>
      <c r="JQ68" s="33"/>
      <c r="JR68" s="33"/>
      <c r="JS68" s="33"/>
      <c r="JT68" s="33"/>
      <c r="JU68" s="33"/>
      <c r="JV68" s="33"/>
      <c r="JW68" s="33"/>
      <c r="JX68" s="33"/>
      <c r="JY68" s="33"/>
      <c r="JZ68" s="33"/>
      <c r="KA68" s="33"/>
      <c r="KB68" s="33"/>
      <c r="KC68" s="33"/>
      <c r="KD68" s="33"/>
      <c r="KE68" s="33"/>
      <c r="KF68" s="33"/>
      <c r="KG68" s="33"/>
      <c r="KH68" s="33"/>
      <c r="KI68" s="33"/>
      <c r="KJ68" s="33"/>
      <c r="KK68" s="33"/>
      <c r="KL68" s="33"/>
    </row>
    <row r="69" spans="1:298" s="53" customFormat="1">
      <c r="A69" s="54"/>
      <c r="B69" s="51">
        <v>490</v>
      </c>
      <c r="C69" s="51">
        <v>10.62</v>
      </c>
      <c r="D69" s="51">
        <v>8.4</v>
      </c>
      <c r="E69" s="51">
        <v>0.3</v>
      </c>
      <c r="F69" s="76">
        <v>0.3</v>
      </c>
      <c r="G69" s="76">
        <v>0.3</v>
      </c>
      <c r="H69" s="51">
        <v>1.54</v>
      </c>
      <c r="I69" s="51">
        <v>1.54</v>
      </c>
      <c r="J69" s="51">
        <v>1.54</v>
      </c>
      <c r="K69" s="53">
        <v>0</v>
      </c>
      <c r="L69" s="53">
        <v>1</v>
      </c>
      <c r="M69" s="53">
        <f t="shared" si="1"/>
        <v>10.62</v>
      </c>
      <c r="N69" s="53">
        <f t="shared" si="2"/>
        <v>89.207999999999998</v>
      </c>
      <c r="O69">
        <f t="shared" si="12"/>
        <v>3.186000000000007</v>
      </c>
      <c r="P69">
        <f t="shared" si="13"/>
        <v>3.186000000000007</v>
      </c>
      <c r="R69" s="33">
        <f>N69+Qy!R109</f>
        <v>149.73010567682098</v>
      </c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  <c r="JY69" s="33"/>
      <c r="JZ69" s="33"/>
      <c r="KA69" s="33"/>
      <c r="KB69" s="33"/>
      <c r="KC69" s="33"/>
      <c r="KD69" s="33"/>
      <c r="KE69" s="33"/>
      <c r="KF69" s="33"/>
      <c r="KG69" s="33"/>
      <c r="KH69" s="33"/>
      <c r="KI69" s="33"/>
      <c r="KJ69" s="33"/>
      <c r="KK69" s="33"/>
      <c r="KL69" s="33"/>
    </row>
    <row r="70" spans="1:298" s="53" customFormat="1">
      <c r="A70" s="54"/>
      <c r="B70" s="51">
        <v>490</v>
      </c>
      <c r="C70" s="51">
        <v>13.95</v>
      </c>
      <c r="D70" s="51">
        <v>10.1</v>
      </c>
      <c r="E70" s="51">
        <v>0.3</v>
      </c>
      <c r="F70" s="76">
        <v>0.3</v>
      </c>
      <c r="G70" s="76">
        <v>0.3</v>
      </c>
      <c r="H70" s="51">
        <v>2.46</v>
      </c>
      <c r="I70" s="51">
        <v>2.46</v>
      </c>
      <c r="J70" s="51">
        <v>2.46</v>
      </c>
      <c r="K70" s="53">
        <v>0</v>
      </c>
      <c r="L70" s="53">
        <v>1</v>
      </c>
      <c r="M70" s="53">
        <f t="shared" si="1"/>
        <v>13.95</v>
      </c>
      <c r="N70" s="53">
        <f t="shared" si="2"/>
        <v>140.89499999999998</v>
      </c>
      <c r="O70">
        <f t="shared" si="12"/>
        <v>4.1850000000000023</v>
      </c>
      <c r="P70">
        <f t="shared" si="13"/>
        <v>4.1850000000000023</v>
      </c>
      <c r="R70" s="33">
        <f>N70+Qy!R110</f>
        <v>224.57855379043039</v>
      </c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78"/>
      <c r="AO70" s="33"/>
      <c r="AP70" s="33"/>
      <c r="AQ70" s="33"/>
      <c r="AR70" s="33"/>
      <c r="AS70" s="78"/>
      <c r="AT70" s="33"/>
      <c r="AU70" s="33"/>
      <c r="AV70" s="33"/>
      <c r="AW70" s="33"/>
      <c r="AX70" s="33"/>
      <c r="AY70" s="33"/>
      <c r="AZ70" s="6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  <c r="JB70" s="33"/>
      <c r="JC70" s="33"/>
      <c r="JD70" s="33"/>
      <c r="JE70" s="33"/>
      <c r="JF70" s="33"/>
      <c r="JG70" s="33"/>
      <c r="JH70" s="33"/>
      <c r="JI70" s="33"/>
      <c r="JJ70" s="33"/>
      <c r="JK70" s="33"/>
      <c r="JL70" s="33"/>
      <c r="JM70" s="33"/>
      <c r="JN70" s="33"/>
      <c r="JO70" s="33"/>
      <c r="JP70" s="33"/>
      <c r="JQ70" s="33"/>
      <c r="JR70" s="33"/>
      <c r="JS70" s="33"/>
      <c r="JT70" s="33"/>
      <c r="JU70" s="33"/>
      <c r="JV70" s="33"/>
      <c r="JW70" s="33"/>
      <c r="JX70" s="33"/>
      <c r="JY70" s="33"/>
      <c r="JZ70" s="33"/>
      <c r="KA70" s="33"/>
      <c r="KB70" s="33"/>
      <c r="KC70" s="33"/>
      <c r="KD70" s="33"/>
      <c r="KE70" s="33"/>
      <c r="KF70" s="33"/>
      <c r="KG70" s="33"/>
      <c r="KH70" s="33"/>
      <c r="KI70" s="33"/>
      <c r="KJ70" s="33"/>
      <c r="KK70" s="33"/>
      <c r="KL70" s="33"/>
    </row>
    <row r="71" spans="1:298">
      <c r="A71" s="1" t="s">
        <v>25</v>
      </c>
      <c r="B71" s="4">
        <v>522</v>
      </c>
      <c r="C71" s="7">
        <v>7.2261532129999999</v>
      </c>
      <c r="D71" s="7">
        <v>6.9295981360000001</v>
      </c>
      <c r="E71">
        <f>0.06*D71</f>
        <v>0.41577588816</v>
      </c>
      <c r="F71" s="7">
        <v>0.41577588799999998</v>
      </c>
      <c r="G71" s="7">
        <v>0.41577588799999998</v>
      </c>
      <c r="H71" s="7">
        <v>0.17264154600000001</v>
      </c>
      <c r="I71" s="7">
        <v>0.24063146899999999</v>
      </c>
      <c r="J71" s="7">
        <v>0.206636508</v>
      </c>
      <c r="K71">
        <v>23</v>
      </c>
      <c r="L71">
        <v>1</v>
      </c>
      <c r="M71">
        <f t="shared" si="1"/>
        <v>7.2261532129999999</v>
      </c>
      <c r="N71">
        <f t="shared" si="2"/>
        <v>50.074337835255214</v>
      </c>
      <c r="O71">
        <f t="shared" si="12"/>
        <v>3.0044602689591215</v>
      </c>
      <c r="P71">
        <f t="shared" si="13"/>
        <v>3.0044602689591287</v>
      </c>
      <c r="R71" s="33">
        <f>N71+Qy!R111</f>
        <v>96.016157612858152</v>
      </c>
      <c r="AM71" s="79"/>
      <c r="AS71" s="78"/>
    </row>
    <row r="72" spans="1:298">
      <c r="A72" s="66" t="s">
        <v>65</v>
      </c>
      <c r="B72" s="4">
        <v>522</v>
      </c>
      <c r="C72" s="7">
        <v>9.7292153250000002</v>
      </c>
      <c r="D72" s="7">
        <v>7.625690327</v>
      </c>
      <c r="E72">
        <f t="shared" ref="E72:E88" si="14">0.06*D72</f>
        <v>0.45754141962</v>
      </c>
      <c r="F72" s="7">
        <v>0.45754141999999998</v>
      </c>
      <c r="G72" s="7">
        <v>0.45754141999999998</v>
      </c>
      <c r="H72" s="7">
        <v>0.234007083</v>
      </c>
      <c r="I72" s="7">
        <v>0.22948606999999999</v>
      </c>
      <c r="J72" s="7">
        <v>0.23174657700000001</v>
      </c>
      <c r="K72">
        <v>23</v>
      </c>
      <c r="L72">
        <v>1</v>
      </c>
      <c r="M72">
        <f t="shared" si="1"/>
        <v>9.7292153250000002</v>
      </c>
      <c r="N72">
        <f t="shared" si="2"/>
        <v>74.191983193152666</v>
      </c>
      <c r="O72">
        <f t="shared" si="12"/>
        <v>4.4515189952862499</v>
      </c>
      <c r="P72">
        <f t="shared" si="13"/>
        <v>4.4515189952862642</v>
      </c>
      <c r="R72" s="33">
        <f>N72+Qy!R112</f>
        <v>133.17646367982042</v>
      </c>
      <c r="AM72" s="79"/>
      <c r="AS72" s="78"/>
    </row>
    <row r="73" spans="1:298">
      <c r="B73" s="4">
        <v>522</v>
      </c>
      <c r="C73" s="7">
        <v>12.292660720000001</v>
      </c>
      <c r="D73" s="7">
        <v>8.2270546909999993</v>
      </c>
      <c r="E73">
        <f t="shared" si="14"/>
        <v>0.49362328145999995</v>
      </c>
      <c r="F73" s="7">
        <v>0.49362328100000002</v>
      </c>
      <c r="G73" s="7">
        <v>0.49362328100000002</v>
      </c>
      <c r="H73" s="7">
        <v>0.273496925</v>
      </c>
      <c r="I73" s="7">
        <v>0.32144856900000002</v>
      </c>
      <c r="J73" s="7">
        <v>0.29747274699999998</v>
      </c>
      <c r="K73">
        <v>23</v>
      </c>
      <c r="L73">
        <v>1</v>
      </c>
      <c r="M73">
        <f t="shared" si="1"/>
        <v>12.292660720000001</v>
      </c>
      <c r="N73">
        <f t="shared" si="2"/>
        <v>101.13239204134743</v>
      </c>
      <c r="O73">
        <f t="shared" si="12"/>
        <v>6.0679435168262188</v>
      </c>
      <c r="P73">
        <f t="shared" si="13"/>
        <v>6.0679435168262188</v>
      </c>
      <c r="R73" s="33">
        <f>N73+Qy!R113</f>
        <v>171.45415784988424</v>
      </c>
      <c r="AM73" s="79"/>
      <c r="AS73" s="78"/>
    </row>
    <row r="74" spans="1:298">
      <c r="B74" s="4">
        <v>522</v>
      </c>
      <c r="C74" s="7">
        <v>14.604795169999999</v>
      </c>
      <c r="D74" s="7">
        <v>8.6564041960000004</v>
      </c>
      <c r="E74">
        <f t="shared" si="14"/>
        <v>0.51938425176000003</v>
      </c>
      <c r="F74" s="7">
        <v>0.51938425200000005</v>
      </c>
      <c r="G74" s="7">
        <v>0.51938425200000005</v>
      </c>
      <c r="H74" s="7">
        <v>0.29859004500000003</v>
      </c>
      <c r="I74" s="7">
        <v>0.30426218999999999</v>
      </c>
      <c r="J74" s="7">
        <v>0.30142611800000002</v>
      </c>
      <c r="K74">
        <v>23</v>
      </c>
      <c r="L74">
        <v>1</v>
      </c>
      <c r="M74">
        <f t="shared" ref="M74:M95" si="15">C74</f>
        <v>14.604795169999999</v>
      </c>
      <c r="N74">
        <f t="shared" ref="N74:N138" si="16">C74*D74*L74</f>
        <v>126.42501019130853</v>
      </c>
      <c r="O74">
        <f t="shared" si="12"/>
        <v>7.5855006149836584</v>
      </c>
      <c r="P74">
        <f t="shared" si="13"/>
        <v>7.5855006149836584</v>
      </c>
      <c r="R74" s="33">
        <f>N74+Qy!R114</f>
        <v>207.19329599220299</v>
      </c>
      <c r="S74" s="61"/>
      <c r="T74" s="61"/>
      <c r="AM74" s="79"/>
      <c r="AS74" s="78"/>
    </row>
    <row r="75" spans="1:298">
      <c r="B75" s="4">
        <v>522</v>
      </c>
      <c r="C75" s="7">
        <v>17.229005870000002</v>
      </c>
      <c r="D75" s="7">
        <v>8.8367319139999996</v>
      </c>
      <c r="E75">
        <f t="shared" si="14"/>
        <v>0.53020391483999996</v>
      </c>
      <c r="F75" s="7">
        <v>0.53020391499999997</v>
      </c>
      <c r="G75" s="7">
        <v>0.53020391499999997</v>
      </c>
      <c r="H75" s="7">
        <v>0.50352016600000005</v>
      </c>
      <c r="I75" s="7">
        <v>0.34483102300000001</v>
      </c>
      <c r="J75" s="7">
        <v>0.42417559500000002</v>
      </c>
      <c r="K75">
        <v>23</v>
      </c>
      <c r="L75">
        <v>1</v>
      </c>
      <c r="M75">
        <f t="shared" si="15"/>
        <v>17.229005870000002</v>
      </c>
      <c r="N75">
        <f t="shared" si="16"/>
        <v>152.24810601792234</v>
      </c>
      <c r="O75">
        <f t="shared" si="12"/>
        <v>9.1348863638319813</v>
      </c>
      <c r="P75">
        <f t="shared" si="13"/>
        <v>9.1348863638319813</v>
      </c>
      <c r="R75" s="33">
        <f>N75+Qy!R115</f>
        <v>243.48141460300658</v>
      </c>
      <c r="S75" s="61"/>
      <c r="T75" s="61"/>
      <c r="AM75" s="79"/>
      <c r="AS75" s="78"/>
    </row>
    <row r="76" spans="1:298">
      <c r="B76" s="4">
        <v>522</v>
      </c>
      <c r="C76" s="7">
        <v>19.614904599999999</v>
      </c>
      <c r="D76" s="7">
        <v>9.1794377039999997</v>
      </c>
      <c r="E76">
        <f t="shared" si="14"/>
        <v>0.55076626223999992</v>
      </c>
      <c r="F76" s="7">
        <v>0.55076626200000001</v>
      </c>
      <c r="G76" s="7">
        <v>0.55076626200000001</v>
      </c>
      <c r="H76" s="7">
        <v>0.16785602499999999</v>
      </c>
      <c r="I76" s="7">
        <v>0.29391602999999999</v>
      </c>
      <c r="J76" s="7">
        <v>0.23088602799999999</v>
      </c>
      <c r="K76">
        <v>23</v>
      </c>
      <c r="L76">
        <v>1</v>
      </c>
      <c r="M76">
        <f t="shared" si="15"/>
        <v>19.614904599999999</v>
      </c>
      <c r="N76">
        <f t="shared" si="16"/>
        <v>180.05379484560302</v>
      </c>
      <c r="O76">
        <f t="shared" si="12"/>
        <v>10.803227686028606</v>
      </c>
      <c r="P76">
        <f t="shared" si="13"/>
        <v>10.803227686028606</v>
      </c>
      <c r="R76" s="33">
        <f>N76+Qy!R116</f>
        <v>281.09067279659939</v>
      </c>
      <c r="S76" s="61"/>
      <c r="T76" s="61"/>
      <c r="U76" s="59"/>
      <c r="Y76" s="59"/>
      <c r="AC76" s="59"/>
      <c r="AM76" s="79"/>
      <c r="AS76" s="78"/>
    </row>
    <row r="77" spans="1:298">
      <c r="B77" s="4">
        <v>522</v>
      </c>
      <c r="C77" s="7">
        <v>22.116258080000001</v>
      </c>
      <c r="D77" s="7">
        <v>9.4181243210000005</v>
      </c>
      <c r="E77">
        <f t="shared" si="14"/>
        <v>0.56508745926000004</v>
      </c>
      <c r="F77" s="7">
        <v>0.56508745900000001</v>
      </c>
      <c r="G77" s="7">
        <v>0.56508745900000001</v>
      </c>
      <c r="H77" s="7">
        <v>0.37942098400000002</v>
      </c>
      <c r="I77" s="7">
        <v>0.324932677</v>
      </c>
      <c r="J77" s="7">
        <v>0.35217683100000002</v>
      </c>
      <c r="K77">
        <v>23</v>
      </c>
      <c r="L77">
        <v>1</v>
      </c>
      <c r="M77">
        <f t="shared" si="15"/>
        <v>22.116258080000001</v>
      </c>
      <c r="N77">
        <f t="shared" si="16"/>
        <v>208.2936681127608</v>
      </c>
      <c r="O77">
        <f t="shared" si="12"/>
        <v>12.497620081015441</v>
      </c>
      <c r="P77">
        <f t="shared" si="13"/>
        <v>12.497620081015441</v>
      </c>
      <c r="R77" s="33">
        <f>N77+Qy!R117</f>
        <v>316.62145374140363</v>
      </c>
      <c r="S77" s="61"/>
      <c r="T77" s="61"/>
      <c r="AM77" s="79"/>
      <c r="AS77" s="78"/>
    </row>
    <row r="78" spans="1:298">
      <c r="B78" s="4">
        <v>522</v>
      </c>
      <c r="C78" s="7">
        <v>24.38159769</v>
      </c>
      <c r="D78" s="7">
        <v>9.6138351909999997</v>
      </c>
      <c r="E78">
        <f t="shared" si="14"/>
        <v>0.57683011145999996</v>
      </c>
      <c r="F78" s="7">
        <v>0.57683011100000003</v>
      </c>
      <c r="G78" s="7">
        <v>0.57683011100000003</v>
      </c>
      <c r="H78" s="7">
        <v>0.33487066599999998</v>
      </c>
      <c r="I78" s="7">
        <v>0.32434484699999999</v>
      </c>
      <c r="J78" s="7">
        <v>0.329607757</v>
      </c>
      <c r="K78">
        <v>23</v>
      </c>
      <c r="L78">
        <v>1</v>
      </c>
      <c r="M78">
        <f t="shared" si="15"/>
        <v>24.38159769</v>
      </c>
      <c r="N78">
        <f t="shared" si="16"/>
        <v>234.40066188492631</v>
      </c>
      <c r="O78">
        <f t="shared" si="12"/>
        <v>14.064039701880034</v>
      </c>
      <c r="P78">
        <f t="shared" si="13"/>
        <v>14.064039701880034</v>
      </c>
      <c r="R78" s="33">
        <f>N78+Qy!R118</f>
        <v>351.9709134698719</v>
      </c>
      <c r="S78" s="61"/>
      <c r="T78" s="61"/>
      <c r="AM78" s="79"/>
      <c r="AS78" s="78"/>
    </row>
    <row r="79" spans="1:298">
      <c r="B79" s="4">
        <v>522</v>
      </c>
      <c r="C79" s="7">
        <v>26.581474</v>
      </c>
      <c r="D79" s="7">
        <v>9.8809681010000006</v>
      </c>
      <c r="E79">
        <f t="shared" si="14"/>
        <v>0.59285808606000001</v>
      </c>
      <c r="F79" s="7">
        <v>0.59285808600000001</v>
      </c>
      <c r="G79" s="7">
        <v>0.59285808600000001</v>
      </c>
      <c r="H79" s="7">
        <v>0.28772400300000001</v>
      </c>
      <c r="I79" s="7">
        <v>0.32111444500000003</v>
      </c>
      <c r="J79" s="7">
        <v>0.30441922399999999</v>
      </c>
      <c r="K79">
        <v>23</v>
      </c>
      <c r="L79">
        <v>1</v>
      </c>
      <c r="M79">
        <f t="shared" si="15"/>
        <v>26.581474</v>
      </c>
      <c r="N79">
        <f t="shared" si="16"/>
        <v>262.65069667156087</v>
      </c>
      <c r="O79">
        <f t="shared" si="12"/>
        <v>15.759041798698775</v>
      </c>
      <c r="P79">
        <f t="shared" si="13"/>
        <v>15.759041798698718</v>
      </c>
      <c r="R79" s="33">
        <f>N79+Qy!R119</f>
        <v>388.35127666032236</v>
      </c>
      <c r="S79" s="61"/>
      <c r="T79" s="61"/>
      <c r="AM79" s="79"/>
      <c r="AS79" s="78"/>
    </row>
    <row r="80" spans="1:298">
      <c r="B80" s="4">
        <v>522</v>
      </c>
      <c r="C80" s="7">
        <v>29.417808040000001</v>
      </c>
      <c r="D80" s="7">
        <v>9.8209810260000001</v>
      </c>
      <c r="E80">
        <f t="shared" si="14"/>
        <v>0.58925886155999996</v>
      </c>
      <c r="F80" s="7">
        <v>0.58925886199999999</v>
      </c>
      <c r="G80" s="7">
        <v>0.58925886199999999</v>
      </c>
      <c r="H80" s="7">
        <v>0.27780197400000001</v>
      </c>
      <c r="I80" s="7">
        <v>0.33001609199999998</v>
      </c>
      <c r="J80" s="7">
        <v>0.303909033</v>
      </c>
      <c r="K80">
        <v>23</v>
      </c>
      <c r="L80">
        <v>1</v>
      </c>
      <c r="M80">
        <f t="shared" si="15"/>
        <v>29.417808040000001</v>
      </c>
      <c r="N80">
        <f t="shared" si="16"/>
        <v>288.91173458735028</v>
      </c>
      <c r="O80">
        <f t="shared" si="12"/>
        <v>17.334704088184822</v>
      </c>
      <c r="P80">
        <f t="shared" si="13"/>
        <v>17.334704088184878</v>
      </c>
      <c r="R80" s="33">
        <f>N80+Qy!R120</f>
        <v>423.68580335537195</v>
      </c>
      <c r="S80" s="61"/>
      <c r="T80" s="61"/>
      <c r="AM80" s="79"/>
      <c r="AS80" s="78"/>
    </row>
    <row r="81" spans="1:298">
      <c r="B81" s="4">
        <v>522</v>
      </c>
      <c r="C81" s="7">
        <v>32.922489149999997</v>
      </c>
      <c r="D81" s="7">
        <v>10.034558280000001</v>
      </c>
      <c r="E81">
        <f t="shared" si="14"/>
        <v>0.6020734968</v>
      </c>
      <c r="F81" s="7">
        <v>0.60207349700000001</v>
      </c>
      <c r="G81" s="7">
        <v>0.60207349700000001</v>
      </c>
      <c r="H81" s="7">
        <v>0.279466402</v>
      </c>
      <c r="I81" s="7">
        <v>0.32774557700000001</v>
      </c>
      <c r="J81" s="7">
        <v>0.30360598999999999</v>
      </c>
      <c r="K81">
        <v>23</v>
      </c>
      <c r="L81">
        <v>1</v>
      </c>
      <c r="M81">
        <f t="shared" si="15"/>
        <v>32.922489149999997</v>
      </c>
      <c r="N81">
        <f t="shared" si="16"/>
        <v>330.36263609834265</v>
      </c>
      <c r="O81">
        <f t="shared" si="12"/>
        <v>19.821758172485033</v>
      </c>
      <c r="P81">
        <f t="shared" si="13"/>
        <v>19.821758172485033</v>
      </c>
      <c r="R81" s="33">
        <f>N81+Qy!R121</f>
        <v>474.61739892408673</v>
      </c>
      <c r="AM81" s="79"/>
      <c r="AS81" s="78"/>
    </row>
    <row r="82" spans="1:298">
      <c r="B82" s="4">
        <v>522</v>
      </c>
      <c r="C82" s="7">
        <v>37.54028701</v>
      </c>
      <c r="D82" s="7">
        <v>10.297536320000001</v>
      </c>
      <c r="E82">
        <f t="shared" si="14"/>
        <v>0.61785217920000002</v>
      </c>
      <c r="F82" s="7">
        <v>0.617852179</v>
      </c>
      <c r="G82" s="7">
        <v>0.617852179</v>
      </c>
      <c r="H82" s="7">
        <v>0.46654917400000001</v>
      </c>
      <c r="I82" s="7">
        <v>0.36195212900000001</v>
      </c>
      <c r="J82" s="7">
        <v>0.414250652</v>
      </c>
      <c r="K82">
        <v>23</v>
      </c>
      <c r="L82">
        <v>1</v>
      </c>
      <c r="M82">
        <f t="shared" si="15"/>
        <v>37.54028701</v>
      </c>
      <c r="N82">
        <f t="shared" si="16"/>
        <v>386.57246894869922</v>
      </c>
      <c r="O82">
        <f t="shared" si="12"/>
        <v>23.194348129413868</v>
      </c>
      <c r="P82">
        <f t="shared" si="13"/>
        <v>23.194348129413868</v>
      </c>
      <c r="R82" s="33">
        <f>N82+Qy!R122</f>
        <v>543.11637030517068</v>
      </c>
      <c r="AM82" s="79"/>
      <c r="AS82" s="78"/>
    </row>
    <row r="83" spans="1:298">
      <c r="B83" s="4">
        <v>522</v>
      </c>
      <c r="C83" s="7">
        <v>42.226866090000001</v>
      </c>
      <c r="D83" s="7">
        <v>10.4979975</v>
      </c>
      <c r="E83">
        <f t="shared" si="14"/>
        <v>0.62987985000000002</v>
      </c>
      <c r="F83" s="7">
        <v>0.62987985000000002</v>
      </c>
      <c r="G83" s="7">
        <v>0.62987985000000002</v>
      </c>
      <c r="H83" s="7">
        <v>0.37548021599999998</v>
      </c>
      <c r="I83" s="7">
        <v>0.287087967</v>
      </c>
      <c r="J83" s="7">
        <v>0.33128409199999997</v>
      </c>
      <c r="K83">
        <v>23</v>
      </c>
      <c r="L83">
        <v>1</v>
      </c>
      <c r="M83">
        <f t="shared" si="15"/>
        <v>42.226866090000001</v>
      </c>
      <c r="N83">
        <f t="shared" si="16"/>
        <v>443.29753464565482</v>
      </c>
      <c r="O83">
        <f t="shared" si="12"/>
        <v>26.597852078739265</v>
      </c>
      <c r="P83">
        <f t="shared" si="13"/>
        <v>26.597852078739322</v>
      </c>
      <c r="R83" s="33">
        <f>N83+Qy!R124</f>
        <v>624.52524563510383</v>
      </c>
      <c r="AM83" s="79"/>
      <c r="AS83" s="78"/>
    </row>
    <row r="84" spans="1:298">
      <c r="B84" s="4">
        <v>522</v>
      </c>
      <c r="C84" s="7">
        <v>46.700567560000003</v>
      </c>
      <c r="D84" s="7">
        <v>10.723235649999999</v>
      </c>
      <c r="E84">
        <f t="shared" si="14"/>
        <v>0.64339413899999998</v>
      </c>
      <c r="F84" s="7">
        <v>0.64339413899999998</v>
      </c>
      <c r="G84" s="7">
        <v>0.64339413899999998</v>
      </c>
      <c r="H84" s="7">
        <v>0.47353676300000003</v>
      </c>
      <c r="I84" s="7">
        <v>0.35217029399999999</v>
      </c>
      <c r="J84" s="7">
        <v>0.412853529</v>
      </c>
      <c r="K84">
        <v>23</v>
      </c>
      <c r="L84">
        <v>1</v>
      </c>
      <c r="M84">
        <f t="shared" si="15"/>
        <v>46.700567560000003</v>
      </c>
      <c r="N84">
        <f t="shared" si="16"/>
        <v>500.7811909346255</v>
      </c>
      <c r="O84">
        <f t="shared" si="12"/>
        <v>30.046871456077554</v>
      </c>
      <c r="P84">
        <f t="shared" si="13"/>
        <v>30.046871456077497</v>
      </c>
      <c r="R84" s="33">
        <f>N84+Qy!R125</f>
        <v>694.09501457904844</v>
      </c>
      <c r="AM84" s="79"/>
      <c r="AS84" s="78"/>
    </row>
    <row r="85" spans="1:298">
      <c r="B85" s="4">
        <v>522</v>
      </c>
      <c r="C85" s="7">
        <v>56.5</v>
      </c>
      <c r="D85" s="7">
        <v>11.068707870000001</v>
      </c>
      <c r="E85">
        <f t="shared" si="14"/>
        <v>0.66412247219999998</v>
      </c>
      <c r="F85" s="7">
        <v>0.66412247199999996</v>
      </c>
      <c r="G85" s="7">
        <v>0.66412247199999996</v>
      </c>
      <c r="H85" s="7">
        <v>0.372884508</v>
      </c>
      <c r="I85" s="7">
        <v>0.299861143</v>
      </c>
      <c r="J85" s="7">
        <v>0.33637282600000001</v>
      </c>
      <c r="K85">
        <v>23</v>
      </c>
      <c r="L85">
        <v>1</v>
      </c>
      <c r="M85">
        <f t="shared" si="15"/>
        <v>56.5</v>
      </c>
      <c r="N85">
        <f t="shared" si="16"/>
        <v>625.38199465500009</v>
      </c>
      <c r="O85">
        <f t="shared" si="12"/>
        <v>37.522919667999986</v>
      </c>
      <c r="P85">
        <f t="shared" si="13"/>
        <v>37.5229196680001</v>
      </c>
      <c r="R85" s="33">
        <f>N85+Qy!R126</f>
        <v>830.9478044550001</v>
      </c>
      <c r="AM85" s="79"/>
      <c r="AS85" s="78"/>
    </row>
    <row r="86" spans="1:298">
      <c r="B86" s="4">
        <v>522</v>
      </c>
      <c r="C86" s="7">
        <v>60.766878630000001</v>
      </c>
      <c r="D86" s="7">
        <v>11.6112815</v>
      </c>
      <c r="E86">
        <f t="shared" si="14"/>
        <v>0.69667688999999999</v>
      </c>
      <c r="F86" s="7">
        <v>0.69667688999999999</v>
      </c>
      <c r="G86" s="7">
        <v>0.69667688999999999</v>
      </c>
      <c r="H86" s="7">
        <v>0.51272702699999995</v>
      </c>
      <c r="I86" s="7">
        <v>0.391205686</v>
      </c>
      <c r="J86" s="7">
        <v>0.45196635699999999</v>
      </c>
      <c r="K86">
        <v>23</v>
      </c>
      <c r="L86">
        <v>1</v>
      </c>
      <c r="M86">
        <f t="shared" si="15"/>
        <v>60.766878630000001</v>
      </c>
      <c r="N86">
        <f t="shared" si="16"/>
        <v>705.58133364926437</v>
      </c>
      <c r="O86">
        <f t="shared" si="12"/>
        <v>42.334880018955801</v>
      </c>
      <c r="P86">
        <f t="shared" si="13"/>
        <v>42.334880018955801</v>
      </c>
      <c r="R86" s="33">
        <f>N86+Qy!R127</f>
        <v>916.07299753636869</v>
      </c>
      <c r="AM86" s="79"/>
      <c r="AS86" s="78"/>
    </row>
    <row r="87" spans="1:298">
      <c r="B87" s="4">
        <v>522</v>
      </c>
      <c r="C87" s="7">
        <v>68.153741550000007</v>
      </c>
      <c r="D87" s="7">
        <v>12.08290744</v>
      </c>
      <c r="E87">
        <f t="shared" si="14"/>
        <v>0.72497444639999997</v>
      </c>
      <c r="F87" s="7">
        <v>0.72497444600000005</v>
      </c>
      <c r="G87" s="7">
        <v>0.72497444600000005</v>
      </c>
      <c r="H87" s="7">
        <v>0.50212869199999999</v>
      </c>
      <c r="I87" s="7">
        <v>0.37382011599999998</v>
      </c>
      <c r="J87" s="7">
        <v>0.43797440399999998</v>
      </c>
      <c r="K87">
        <v>23</v>
      </c>
      <c r="L87">
        <v>1</v>
      </c>
      <c r="M87">
        <f t="shared" si="15"/>
        <v>68.153741550000007</v>
      </c>
      <c r="N87">
        <f t="shared" si="16"/>
        <v>823.49535083833223</v>
      </c>
      <c r="O87">
        <f t="shared" si="12"/>
        <v>49.409721023038401</v>
      </c>
      <c r="P87">
        <f t="shared" si="13"/>
        <v>49.409721023038514</v>
      </c>
      <c r="R87" s="33">
        <f>N87+Qy!R128</f>
        <v>1048.703889457674</v>
      </c>
      <c r="AM87" s="79"/>
      <c r="AS87" s="78"/>
    </row>
    <row r="88" spans="1:298">
      <c r="B88" s="4">
        <v>522</v>
      </c>
      <c r="C88" s="7">
        <v>77.224916190000002</v>
      </c>
      <c r="D88" s="7">
        <v>12.95092208</v>
      </c>
      <c r="E88">
        <f t="shared" si="14"/>
        <v>0.77705532479999995</v>
      </c>
      <c r="F88" s="7">
        <v>0.77705532499999996</v>
      </c>
      <c r="G88" s="7">
        <v>0.77705532499999996</v>
      </c>
      <c r="H88" s="7">
        <v>0.44429166599999997</v>
      </c>
      <c r="I88" s="7">
        <v>0.32653861699999998</v>
      </c>
      <c r="J88" s="7">
        <v>0.38541514199999999</v>
      </c>
      <c r="K88">
        <v>23</v>
      </c>
      <c r="L88">
        <v>1</v>
      </c>
      <c r="M88">
        <f t="shared" si="15"/>
        <v>77.224916190000002</v>
      </c>
      <c r="N88">
        <f t="shared" si="16"/>
        <v>1000.1338722112205</v>
      </c>
      <c r="O88">
        <f t="shared" si="12"/>
        <v>60.008032348118149</v>
      </c>
      <c r="P88">
        <f t="shared" si="13"/>
        <v>60.008032348118149</v>
      </c>
      <c r="R88" s="33">
        <f>N88+Qy!R129</f>
        <v>1240.673385332429</v>
      </c>
      <c r="AM88" s="79"/>
      <c r="AS88" s="78"/>
    </row>
    <row r="89" spans="1:298" s="53" customFormat="1">
      <c r="A89" s="54" t="s">
        <v>58</v>
      </c>
      <c r="B89" s="51">
        <v>530</v>
      </c>
      <c r="C89" s="53">
        <v>3</v>
      </c>
      <c r="D89" s="53">
        <f>64*0.95*0.07195122</f>
        <v>4.3746341759999998</v>
      </c>
      <c r="E89" s="53">
        <f>4*0.95*0.07195122</f>
        <v>0.27341463599999999</v>
      </c>
      <c r="F89" s="76">
        <v>0.27341463599999999</v>
      </c>
      <c r="G89" s="76">
        <v>0.27341463599999999</v>
      </c>
      <c r="K89" s="53">
        <v>0</v>
      </c>
      <c r="L89" s="53">
        <v>0.83</v>
      </c>
      <c r="M89" s="53">
        <f t="shared" si="15"/>
        <v>3</v>
      </c>
      <c r="N89" s="53">
        <f t="shared" si="16"/>
        <v>10.892839098239998</v>
      </c>
      <c r="O89">
        <f t="shared" si="12"/>
        <v>0.68080244364000286</v>
      </c>
      <c r="P89">
        <f t="shared" si="13"/>
        <v>0.68080244363999753</v>
      </c>
      <c r="R89" s="33">
        <f>N89+Qy!R130</f>
        <v>31.40128597324</v>
      </c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79"/>
      <c r="AN89" s="33"/>
      <c r="AO89" s="33"/>
      <c r="AP89" s="33"/>
      <c r="AQ89" s="33"/>
      <c r="AR89" s="33"/>
      <c r="AS89" s="78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  <c r="JA89" s="33"/>
      <c r="JB89" s="33"/>
      <c r="JC89" s="33"/>
      <c r="JD89" s="33"/>
      <c r="JE89" s="33"/>
      <c r="JF89" s="33"/>
      <c r="JG89" s="33"/>
      <c r="JH89" s="33"/>
      <c r="JI89" s="33"/>
      <c r="JJ89" s="33"/>
      <c r="JK89" s="33"/>
      <c r="JL89" s="33"/>
      <c r="JM89" s="33"/>
      <c r="JN89" s="33"/>
      <c r="JO89" s="33"/>
      <c r="JP89" s="33"/>
      <c r="JQ89" s="33"/>
      <c r="JR89" s="33"/>
      <c r="JS89" s="33"/>
      <c r="JT89" s="33"/>
      <c r="JU89" s="33"/>
      <c r="JV89" s="33"/>
      <c r="JW89" s="33"/>
      <c r="JX89" s="33"/>
      <c r="JY89" s="33"/>
      <c r="JZ89" s="33"/>
      <c r="KA89" s="33"/>
      <c r="KB89" s="33"/>
      <c r="KC89" s="33"/>
      <c r="KD89" s="33"/>
      <c r="KE89" s="33"/>
      <c r="KF89" s="33"/>
      <c r="KG89" s="33"/>
      <c r="KH89" s="33"/>
      <c r="KI89" s="33"/>
      <c r="KJ89" s="33"/>
      <c r="KK89" s="33"/>
      <c r="KL89" s="33"/>
    </row>
    <row r="90" spans="1:298" s="53" customFormat="1">
      <c r="A90" s="65" t="s">
        <v>71</v>
      </c>
      <c r="B90" s="51">
        <v>530</v>
      </c>
      <c r="C90" s="53">
        <v>8</v>
      </c>
      <c r="D90" s="53">
        <f>64*0.95*0.14593495</f>
        <v>8.8728449600000001</v>
      </c>
      <c r="E90" s="53">
        <f>4*0.95*0.14593495</f>
        <v>0.55455281000000001</v>
      </c>
      <c r="F90" s="76">
        <v>0.55455281000000001</v>
      </c>
      <c r="G90" s="76">
        <v>0.55455281000000001</v>
      </c>
      <c r="K90" s="53">
        <v>0</v>
      </c>
      <c r="L90" s="53">
        <v>0.83</v>
      </c>
      <c r="M90" s="53">
        <f t="shared" si="15"/>
        <v>8</v>
      </c>
      <c r="N90" s="53">
        <f t="shared" si="16"/>
        <v>58.915690534399999</v>
      </c>
      <c r="O90">
        <f t="shared" si="12"/>
        <v>3.6822306584000017</v>
      </c>
      <c r="P90">
        <f t="shared" si="13"/>
        <v>3.6822306584000017</v>
      </c>
      <c r="R90" s="33">
        <f>N90+Qy!R131</f>
        <v>110.68695720106666</v>
      </c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79"/>
      <c r="AN90" s="33"/>
      <c r="AO90" s="33"/>
      <c r="AP90" s="33"/>
      <c r="AQ90" s="33"/>
      <c r="AR90" s="33"/>
      <c r="AS90" s="78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  <c r="JA90" s="33"/>
      <c r="JB90" s="33"/>
      <c r="JC90" s="33"/>
      <c r="JD90" s="33"/>
      <c r="JE90" s="33"/>
      <c r="JF90" s="33"/>
      <c r="JG90" s="33"/>
      <c r="JH90" s="33"/>
      <c r="JI90" s="33"/>
      <c r="JJ90" s="33"/>
      <c r="JK90" s="33"/>
      <c r="JL90" s="33"/>
      <c r="JM90" s="33"/>
      <c r="JN90" s="33"/>
      <c r="JO90" s="33"/>
      <c r="JP90" s="33"/>
      <c r="JQ90" s="33"/>
      <c r="JR90" s="33"/>
      <c r="JS90" s="33"/>
      <c r="JT90" s="33"/>
      <c r="JU90" s="33"/>
      <c r="JV90" s="33"/>
      <c r="JW90" s="33"/>
      <c r="JX90" s="33"/>
      <c r="JY90" s="33"/>
      <c r="JZ90" s="33"/>
      <c r="KA90" s="33"/>
      <c r="KB90" s="33"/>
      <c r="KC90" s="33"/>
      <c r="KD90" s="33"/>
      <c r="KE90" s="33"/>
      <c r="KF90" s="33"/>
      <c r="KG90" s="33"/>
      <c r="KH90" s="33"/>
      <c r="KI90" s="33"/>
      <c r="KJ90" s="33"/>
      <c r="KK90" s="33"/>
      <c r="KL90" s="33"/>
    </row>
    <row r="91" spans="1:298" s="53" customFormat="1">
      <c r="A91" s="54"/>
      <c r="B91" s="51">
        <v>530</v>
      </c>
      <c r="C91" s="53">
        <v>15</v>
      </c>
      <c r="D91" s="53">
        <f>0.95*64*0.1605691</f>
        <v>9.7626012799999984</v>
      </c>
      <c r="E91" s="53">
        <f>0.95*4*0.1605691</f>
        <v>0.6101625799999999</v>
      </c>
      <c r="F91" s="76">
        <v>0.61016258000000001</v>
      </c>
      <c r="G91" s="76">
        <v>0.61016258000000001</v>
      </c>
      <c r="K91" s="53">
        <v>0</v>
      </c>
      <c r="L91" s="53">
        <v>0.83</v>
      </c>
      <c r="M91" s="53">
        <f t="shared" si="15"/>
        <v>15</v>
      </c>
      <c r="N91" s="53">
        <f t="shared" si="16"/>
        <v>121.54438593599997</v>
      </c>
      <c r="O91">
        <f t="shared" si="12"/>
        <v>7.5965241210000158</v>
      </c>
      <c r="P91">
        <f t="shared" si="13"/>
        <v>7.5965241210000158</v>
      </c>
      <c r="R91" s="33">
        <f>N91+Qy!R132</f>
        <v>207.51538593599997</v>
      </c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79"/>
      <c r="AN91" s="33"/>
      <c r="AO91" s="33"/>
      <c r="AP91" s="33"/>
      <c r="AQ91" s="33"/>
      <c r="AR91" s="33"/>
      <c r="AS91" s="78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  <c r="JA91" s="33"/>
      <c r="JB91" s="33"/>
      <c r="JC91" s="33"/>
      <c r="JD91" s="33"/>
      <c r="JE91" s="33"/>
      <c r="JF91" s="33"/>
      <c r="JG91" s="33"/>
      <c r="JH91" s="33"/>
      <c r="JI91" s="33"/>
      <c r="JJ91" s="33"/>
      <c r="JK91" s="33"/>
      <c r="JL91" s="33"/>
      <c r="JM91" s="33"/>
      <c r="JN91" s="33"/>
      <c r="JO91" s="33"/>
      <c r="JP91" s="33"/>
      <c r="JQ91" s="33"/>
      <c r="JR91" s="33"/>
      <c r="JS91" s="33"/>
      <c r="JT91" s="33"/>
      <c r="JU91" s="33"/>
      <c r="JV91" s="33"/>
      <c r="JW91" s="33"/>
      <c r="JX91" s="33"/>
      <c r="JY91" s="33"/>
      <c r="JZ91" s="33"/>
      <c r="KA91" s="33"/>
      <c r="KB91" s="33"/>
      <c r="KC91" s="33"/>
      <c r="KD91" s="33"/>
      <c r="KE91" s="33"/>
      <c r="KF91" s="33"/>
      <c r="KG91" s="33"/>
      <c r="KH91" s="33"/>
      <c r="KI91" s="33"/>
      <c r="KJ91" s="33"/>
      <c r="KK91" s="33"/>
      <c r="KL91" s="33"/>
    </row>
    <row r="92" spans="1:298" s="53" customFormat="1">
      <c r="A92" s="54"/>
      <c r="B92" s="51">
        <v>530</v>
      </c>
      <c r="C92" s="53">
        <v>25</v>
      </c>
      <c r="D92" s="53">
        <f>0.95*64*0.20162602</f>
        <v>12.258862015999998</v>
      </c>
      <c r="E92" s="53">
        <f>0.95*4*0.20162602</f>
        <v>0.7661788759999999</v>
      </c>
      <c r="F92" s="76">
        <v>0.76617887600000001</v>
      </c>
      <c r="G92" s="76">
        <v>0.76617887600000001</v>
      </c>
      <c r="K92" s="53">
        <v>0</v>
      </c>
      <c r="L92" s="53">
        <v>0.83</v>
      </c>
      <c r="M92" s="53">
        <f t="shared" si="15"/>
        <v>25</v>
      </c>
      <c r="N92" s="53">
        <f t="shared" si="16"/>
        <v>254.37138683199996</v>
      </c>
      <c r="O92">
        <f t="shared" si="12"/>
        <v>15.898211676999978</v>
      </c>
      <c r="P92">
        <f t="shared" si="13"/>
        <v>15.898211676999978</v>
      </c>
      <c r="R92" s="33">
        <f>N92+Qy!R133</f>
        <v>383.78719412366661</v>
      </c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79"/>
      <c r="AN92" s="33"/>
      <c r="AO92" s="33"/>
      <c r="AP92" s="33"/>
      <c r="AQ92" s="33"/>
      <c r="AR92" s="33"/>
      <c r="AS92" s="78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  <c r="JA92" s="33"/>
      <c r="JB92" s="33"/>
      <c r="JC92" s="33"/>
      <c r="JD92" s="33"/>
      <c r="JE92" s="33"/>
      <c r="JF92" s="33"/>
      <c r="JG92" s="33"/>
      <c r="JH92" s="33"/>
      <c r="JI92" s="33"/>
      <c r="JJ92" s="33"/>
      <c r="JK92" s="33"/>
      <c r="JL92" s="33"/>
      <c r="JM92" s="33"/>
      <c r="JN92" s="33"/>
      <c r="JO92" s="33"/>
      <c r="JP92" s="33"/>
      <c r="JQ92" s="33"/>
      <c r="JR92" s="33"/>
      <c r="JS92" s="33"/>
      <c r="JT92" s="33"/>
      <c r="JU92" s="33"/>
      <c r="JV92" s="33"/>
      <c r="JW92" s="33"/>
      <c r="JX92" s="33"/>
      <c r="JY92" s="33"/>
      <c r="JZ92" s="33"/>
      <c r="KA92" s="33"/>
      <c r="KB92" s="33"/>
      <c r="KC92" s="33"/>
      <c r="KD92" s="33"/>
      <c r="KE92" s="33"/>
      <c r="KF92" s="33"/>
      <c r="KG92" s="33"/>
      <c r="KH92" s="33"/>
      <c r="KI92" s="33"/>
      <c r="KJ92" s="33"/>
      <c r="KK92" s="33"/>
      <c r="KL92" s="33"/>
    </row>
    <row r="93" spans="1:298" s="53" customFormat="1">
      <c r="A93" s="54"/>
      <c r="B93" s="51">
        <v>530</v>
      </c>
      <c r="C93" s="53">
        <v>40</v>
      </c>
      <c r="D93" s="53">
        <f>0.95*64*0.20203252</f>
        <v>12.283577215999999</v>
      </c>
      <c r="E93" s="53">
        <f>0.95*4*0.20203252</f>
        <v>0.76772357599999996</v>
      </c>
      <c r="F93" s="76">
        <v>0.76772357599999996</v>
      </c>
      <c r="G93" s="76">
        <v>0.76772357599999996</v>
      </c>
      <c r="K93" s="53">
        <v>0</v>
      </c>
      <c r="L93" s="53">
        <v>0.83</v>
      </c>
      <c r="M93" s="53">
        <f t="shared" si="15"/>
        <v>40</v>
      </c>
      <c r="N93" s="53">
        <f t="shared" si="16"/>
        <v>407.81476357119993</v>
      </c>
      <c r="O93">
        <f t="shared" si="12"/>
        <v>25.488422723200074</v>
      </c>
      <c r="P93">
        <f t="shared" si="13"/>
        <v>25.48842272319996</v>
      </c>
      <c r="R93" s="33">
        <f>N93+Qy!R134</f>
        <v>580.26018023786662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79"/>
      <c r="AN93" s="33"/>
      <c r="AO93" s="33"/>
      <c r="AP93" s="33"/>
      <c r="AQ93" s="33"/>
      <c r="AR93" s="33"/>
      <c r="AS93" s="78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  <c r="JA93" s="33"/>
      <c r="JB93" s="33"/>
      <c r="JC93" s="33"/>
      <c r="JD93" s="33"/>
      <c r="JE93" s="33"/>
      <c r="JF93" s="33"/>
      <c r="JG93" s="33"/>
      <c r="JH93" s="33"/>
      <c r="JI93" s="33"/>
      <c r="JJ93" s="33"/>
      <c r="JK93" s="33"/>
      <c r="JL93" s="33"/>
      <c r="JM93" s="33"/>
      <c r="JN93" s="33"/>
      <c r="JO93" s="33"/>
      <c r="JP93" s="33"/>
      <c r="JQ93" s="33"/>
      <c r="JR93" s="33"/>
      <c r="JS93" s="33"/>
      <c r="JT93" s="33"/>
      <c r="JU93" s="33"/>
      <c r="JV93" s="33"/>
      <c r="JW93" s="33"/>
      <c r="JX93" s="33"/>
      <c r="JY93" s="33"/>
      <c r="JZ93" s="33"/>
      <c r="KA93" s="33"/>
      <c r="KB93" s="33"/>
      <c r="KC93" s="33"/>
      <c r="KD93" s="33"/>
      <c r="KE93" s="33"/>
      <c r="KF93" s="33"/>
      <c r="KG93" s="33"/>
      <c r="KH93" s="33"/>
      <c r="KI93" s="33"/>
      <c r="KJ93" s="33"/>
      <c r="KK93" s="33"/>
      <c r="KL93" s="33"/>
    </row>
    <row r="94" spans="1:298" s="53" customFormat="1">
      <c r="A94" s="54"/>
      <c r="B94" s="51">
        <v>530</v>
      </c>
      <c r="C94" s="53">
        <v>100</v>
      </c>
      <c r="D94" s="53">
        <f>0.95*64*0.20569105</f>
        <v>12.506015839999998</v>
      </c>
      <c r="E94" s="53">
        <f>0.95*4*0.20569105</f>
        <v>0.78162598999999988</v>
      </c>
      <c r="F94" s="76">
        <v>0.78162598999999999</v>
      </c>
      <c r="G94" s="76">
        <v>0.78162598999999999</v>
      </c>
      <c r="K94" s="53">
        <v>0</v>
      </c>
      <c r="L94" s="53">
        <v>0.83</v>
      </c>
      <c r="M94" s="53">
        <f t="shared" si="15"/>
        <v>100</v>
      </c>
      <c r="N94" s="53">
        <f t="shared" si="16"/>
        <v>1037.9993147199998</v>
      </c>
      <c r="O94">
        <f t="shared" si="12"/>
        <v>64.874957170000016</v>
      </c>
      <c r="P94">
        <f t="shared" si="13"/>
        <v>64.874957170000016</v>
      </c>
      <c r="R94" s="33">
        <f>N94+Qy!R135</f>
        <v>1299.1058772199999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79"/>
      <c r="AN94" s="33"/>
      <c r="AO94" s="33"/>
      <c r="AP94" s="33"/>
      <c r="AQ94" s="33"/>
      <c r="AR94" s="33"/>
      <c r="AS94" s="78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  <c r="IW94" s="33"/>
      <c r="IX94" s="33"/>
      <c r="IY94" s="33"/>
      <c r="IZ94" s="33"/>
      <c r="JA94" s="33"/>
      <c r="JB94" s="33"/>
      <c r="JC94" s="33"/>
      <c r="JD94" s="33"/>
      <c r="JE94" s="33"/>
      <c r="JF94" s="33"/>
      <c r="JG94" s="33"/>
      <c r="JH94" s="33"/>
      <c r="JI94" s="33"/>
      <c r="JJ94" s="33"/>
      <c r="JK94" s="33"/>
      <c r="JL94" s="33"/>
      <c r="JM94" s="33"/>
      <c r="JN94" s="33"/>
      <c r="JO94" s="33"/>
      <c r="JP94" s="33"/>
      <c r="JQ94" s="33"/>
      <c r="JR94" s="33"/>
      <c r="JS94" s="33"/>
      <c r="JT94" s="33"/>
      <c r="JU94" s="33"/>
      <c r="JV94" s="33"/>
      <c r="JW94" s="33"/>
      <c r="JX94" s="33"/>
      <c r="JY94" s="33"/>
      <c r="JZ94" s="33"/>
      <c r="KA94" s="33"/>
      <c r="KB94" s="33"/>
      <c r="KC94" s="33"/>
      <c r="KD94" s="33"/>
      <c r="KE94" s="33"/>
      <c r="KF94" s="33"/>
      <c r="KG94" s="33"/>
      <c r="KH94" s="33"/>
      <c r="KI94" s="33"/>
      <c r="KJ94" s="33"/>
      <c r="KK94" s="33"/>
      <c r="KL94" s="33"/>
    </row>
    <row r="95" spans="1:298" s="53" customFormat="1">
      <c r="A95" s="54"/>
      <c r="B95" s="51">
        <v>530</v>
      </c>
      <c r="C95" s="53">
        <v>200</v>
      </c>
      <c r="D95" s="53">
        <f>0.95*64*0.20325203</f>
        <v>12.357723424</v>
      </c>
      <c r="E95" s="53">
        <f>0.95*4*0.20325203</f>
        <v>0.77235771399999997</v>
      </c>
      <c r="F95" s="76">
        <v>0.77235771399999997</v>
      </c>
      <c r="G95" s="76">
        <v>0.77235771399999997</v>
      </c>
      <c r="K95" s="53">
        <v>0</v>
      </c>
      <c r="L95" s="53">
        <v>0.83</v>
      </c>
      <c r="M95" s="53">
        <f t="shared" si="15"/>
        <v>200</v>
      </c>
      <c r="N95" s="53">
        <f t="shared" si="16"/>
        <v>2051.3820883839999</v>
      </c>
      <c r="O95">
        <f t="shared" si="12"/>
        <v>128.21138052400011</v>
      </c>
      <c r="P95">
        <f t="shared" si="13"/>
        <v>128.21138052400011</v>
      </c>
      <c r="R95" s="33">
        <f>N95+Qy!R136</f>
        <v>2413.2597967173333</v>
      </c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79"/>
      <c r="AN95" s="33"/>
      <c r="AO95" s="33"/>
      <c r="AP95" s="33"/>
      <c r="AQ95" s="33"/>
      <c r="AR95" s="33"/>
      <c r="AS95" s="78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  <c r="IW95" s="33"/>
      <c r="IX95" s="33"/>
      <c r="IY95" s="33"/>
      <c r="IZ95" s="33"/>
      <c r="JA95" s="33"/>
      <c r="JB95" s="33"/>
      <c r="JC95" s="33"/>
      <c r="JD95" s="33"/>
      <c r="JE95" s="33"/>
      <c r="JF95" s="33"/>
      <c r="JG95" s="33"/>
      <c r="JH95" s="33"/>
      <c r="JI95" s="33"/>
      <c r="JJ95" s="33"/>
      <c r="JK95" s="33"/>
      <c r="JL95" s="33"/>
      <c r="JM95" s="33"/>
      <c r="JN95" s="33"/>
      <c r="JO95" s="33"/>
      <c r="JP95" s="33"/>
      <c r="JQ95" s="33"/>
      <c r="JR95" s="33"/>
      <c r="JS95" s="33"/>
      <c r="JT95" s="33"/>
      <c r="JU95" s="33"/>
      <c r="JV95" s="33"/>
      <c r="JW95" s="33"/>
      <c r="JX95" s="33"/>
      <c r="JY95" s="33"/>
      <c r="JZ95" s="33"/>
      <c r="KA95" s="33"/>
      <c r="KB95" s="33"/>
      <c r="KC95" s="33"/>
      <c r="KD95" s="33"/>
      <c r="KE95" s="33"/>
      <c r="KF95" s="33"/>
      <c r="KG95" s="33"/>
      <c r="KH95" s="33"/>
      <c r="KI95" s="33"/>
      <c r="KJ95" s="33"/>
      <c r="KK95" s="33"/>
      <c r="KL95" s="33"/>
    </row>
    <row r="96" spans="1:298">
      <c r="A96" s="47" t="s">
        <v>59</v>
      </c>
      <c r="B96" s="4">
        <v>530</v>
      </c>
      <c r="C96">
        <v>2</v>
      </c>
      <c r="D96">
        <f>64*0.94*0.057317074</f>
        <v>3.4481951718400001</v>
      </c>
      <c r="E96">
        <f>(F96+G96)/2</f>
        <v>3</v>
      </c>
      <c r="F96">
        <v>2.5</v>
      </c>
      <c r="G96">
        <v>3.5</v>
      </c>
      <c r="K96">
        <v>0</v>
      </c>
      <c r="L96">
        <v>0.83</v>
      </c>
      <c r="M96" s="7">
        <v>2.1274950600000002</v>
      </c>
      <c r="N96">
        <f t="shared" si="16"/>
        <v>5.7240039852543996</v>
      </c>
      <c r="O96">
        <f t="shared" si="12"/>
        <v>4.1499999999999995</v>
      </c>
      <c r="P96">
        <f t="shared" si="13"/>
        <v>5.81</v>
      </c>
      <c r="AM96" s="79"/>
      <c r="AS96" s="78"/>
    </row>
    <row r="97" spans="1:298">
      <c r="A97" s="65" t="s">
        <v>71</v>
      </c>
      <c r="B97" s="4">
        <v>530</v>
      </c>
      <c r="C97">
        <v>3</v>
      </c>
      <c r="D97">
        <f>64*0.94*0.093495935</f>
        <v>5.6247154496</v>
      </c>
      <c r="E97">
        <f t="shared" ref="E97:E106" si="17">(F97+G97)/2</f>
        <v>2.1</v>
      </c>
      <c r="F97">
        <v>2.1</v>
      </c>
      <c r="G97">
        <v>2.1</v>
      </c>
      <c r="K97">
        <v>0</v>
      </c>
      <c r="L97">
        <v>0.83</v>
      </c>
      <c r="M97" s="7">
        <v>3.1886608910000001</v>
      </c>
      <c r="N97">
        <f t="shared" si="16"/>
        <v>14.005541469503999</v>
      </c>
      <c r="O97">
        <f t="shared" si="12"/>
        <v>5.2289999999999992</v>
      </c>
      <c r="P97">
        <f t="shared" si="13"/>
        <v>5.229000000000001</v>
      </c>
      <c r="AM97" s="79"/>
      <c r="AS97" s="78"/>
    </row>
    <row r="98" spans="1:298">
      <c r="A98" s="47" t="s">
        <v>80</v>
      </c>
      <c r="B98" s="4">
        <v>530</v>
      </c>
      <c r="C98">
        <v>4</v>
      </c>
      <c r="D98">
        <f>64*0.94*0.099186994</f>
        <v>5.9670895590399997</v>
      </c>
      <c r="E98">
        <f t="shared" si="17"/>
        <v>1.9</v>
      </c>
      <c r="F98">
        <v>1.9</v>
      </c>
      <c r="G98">
        <v>1.9</v>
      </c>
      <c r="K98">
        <v>0</v>
      </c>
      <c r="L98">
        <v>0.83</v>
      </c>
      <c r="M98" s="7">
        <v>4.2234996799999998</v>
      </c>
      <c r="N98">
        <f t="shared" si="16"/>
        <v>19.810737336012799</v>
      </c>
      <c r="O98">
        <f t="shared" si="12"/>
        <v>6.3079999999999998</v>
      </c>
      <c r="P98">
        <f t="shared" si="13"/>
        <v>6.3080000000000016</v>
      </c>
      <c r="AM98" s="79"/>
      <c r="AS98" s="78"/>
    </row>
    <row r="99" spans="1:298">
      <c r="B99" s="4">
        <v>530</v>
      </c>
      <c r="C99">
        <v>5</v>
      </c>
      <c r="D99">
        <f>64*0.94*0.10772358</f>
        <v>6.4806505727999992</v>
      </c>
      <c r="E99">
        <f t="shared" si="17"/>
        <v>1.7</v>
      </c>
      <c r="F99">
        <v>1.7</v>
      </c>
      <c r="G99">
        <v>1.7</v>
      </c>
      <c r="K99">
        <v>0</v>
      </c>
      <c r="L99">
        <v>0.83</v>
      </c>
      <c r="M99" s="7">
        <v>5.2403620799999997</v>
      </c>
      <c r="N99">
        <f t="shared" si="16"/>
        <v>26.894699877119994</v>
      </c>
      <c r="O99">
        <f t="shared" si="12"/>
        <v>7.0550000000000033</v>
      </c>
      <c r="P99">
        <f t="shared" si="13"/>
        <v>7.0549999999999997</v>
      </c>
      <c r="AM99" s="79"/>
      <c r="AS99" s="78"/>
    </row>
    <row r="100" spans="1:298">
      <c r="B100" s="4">
        <v>530</v>
      </c>
      <c r="C100">
        <v>6.5</v>
      </c>
      <c r="D100">
        <f>64*0.94*0.120731704</f>
        <v>7.2632193126399995</v>
      </c>
      <c r="E100">
        <f t="shared" si="17"/>
        <v>1.5</v>
      </c>
      <c r="F100">
        <v>1.5</v>
      </c>
      <c r="G100">
        <v>1.5</v>
      </c>
      <c r="K100">
        <v>0</v>
      </c>
      <c r="L100">
        <v>0.83</v>
      </c>
      <c r="M100" s="7">
        <v>6.7410053110000003</v>
      </c>
      <c r="N100">
        <f t="shared" si="16"/>
        <v>39.185068191692793</v>
      </c>
      <c r="O100">
        <f t="shared" si="12"/>
        <v>8.0925000000000082</v>
      </c>
      <c r="P100">
        <f t="shared" si="13"/>
        <v>8.0924999999999976</v>
      </c>
      <c r="AM100" s="79"/>
      <c r="AS100" s="78"/>
    </row>
    <row r="101" spans="1:298">
      <c r="B101" s="4">
        <v>530</v>
      </c>
      <c r="C101">
        <v>8.4</v>
      </c>
      <c r="D101">
        <f>64*0.94*0.13333334</f>
        <v>8.0213337343999989</v>
      </c>
      <c r="E101">
        <f t="shared" si="17"/>
        <v>1.3</v>
      </c>
      <c r="F101">
        <v>1.3</v>
      </c>
      <c r="G101">
        <v>1.3</v>
      </c>
      <c r="K101">
        <v>0</v>
      </c>
      <c r="L101">
        <v>0.83</v>
      </c>
      <c r="M101" s="7">
        <v>8.6101300290000005</v>
      </c>
      <c r="N101">
        <f t="shared" si="16"/>
        <v>55.924738796236788</v>
      </c>
      <c r="O101">
        <f t="shared" si="12"/>
        <v>9.063600000000001</v>
      </c>
      <c r="P101">
        <f t="shared" si="13"/>
        <v>9.0635999999999939</v>
      </c>
      <c r="T101" s="59"/>
      <c r="X101" s="59"/>
      <c r="AB101" s="59"/>
      <c r="AM101" s="79"/>
      <c r="AS101" s="78"/>
    </row>
    <row r="102" spans="1:298">
      <c r="B102" s="4">
        <v>530</v>
      </c>
      <c r="C102">
        <v>10.8</v>
      </c>
      <c r="D102">
        <f>64*0.94*0.14471544</f>
        <v>8.7060808703999992</v>
      </c>
      <c r="E102">
        <f t="shared" si="17"/>
        <v>1</v>
      </c>
      <c r="F102">
        <v>1</v>
      </c>
      <c r="G102">
        <v>1</v>
      </c>
      <c r="K102">
        <v>0</v>
      </c>
      <c r="L102">
        <v>0.83</v>
      </c>
      <c r="M102" s="7">
        <v>10.933404579999999</v>
      </c>
      <c r="N102">
        <f t="shared" si="16"/>
        <v>78.0413089222656</v>
      </c>
      <c r="O102">
        <f t="shared" si="12"/>
        <v>8.9639999999999986</v>
      </c>
      <c r="P102">
        <f t="shared" si="13"/>
        <v>8.9640000000000128</v>
      </c>
      <c r="AM102" s="79"/>
      <c r="AS102" s="78"/>
    </row>
    <row r="103" spans="1:298">
      <c r="B103" s="4">
        <v>530</v>
      </c>
      <c r="C103">
        <v>14.9</v>
      </c>
      <c r="D103">
        <f>64*0.94*0.15325204</f>
        <v>9.2196427264</v>
      </c>
      <c r="E103">
        <f t="shared" si="17"/>
        <v>0.9</v>
      </c>
      <c r="F103">
        <v>0.9</v>
      </c>
      <c r="G103">
        <v>0.9</v>
      </c>
      <c r="K103">
        <v>0</v>
      </c>
      <c r="L103">
        <v>0.83</v>
      </c>
      <c r="M103" s="7">
        <v>14.83115432</v>
      </c>
      <c r="N103">
        <f t="shared" si="16"/>
        <v>114.0193215973888</v>
      </c>
      <c r="O103">
        <f t="shared" si="12"/>
        <v>11.130300000000005</v>
      </c>
      <c r="P103">
        <f t="shared" si="13"/>
        <v>11.130300000000005</v>
      </c>
      <c r="AM103" s="79"/>
      <c r="AS103" s="78"/>
    </row>
    <row r="104" spans="1:298">
      <c r="B104" s="4">
        <v>530</v>
      </c>
      <c r="C104">
        <v>22.9</v>
      </c>
      <c r="D104">
        <f>64*0.94*0.16422765</f>
        <v>9.8799354239999992</v>
      </c>
      <c r="E104">
        <f t="shared" si="17"/>
        <v>0.7</v>
      </c>
      <c r="F104">
        <v>0.7</v>
      </c>
      <c r="G104">
        <v>0.7</v>
      </c>
      <c r="K104">
        <v>0</v>
      </c>
      <c r="L104">
        <v>0.83</v>
      </c>
      <c r="M104" s="7">
        <v>22.259597410000001</v>
      </c>
      <c r="N104">
        <f t="shared" si="16"/>
        <v>187.78793260396799</v>
      </c>
      <c r="O104">
        <f t="shared" si="12"/>
        <v>13.304899999999975</v>
      </c>
      <c r="P104">
        <f t="shared" si="13"/>
        <v>13.304900000000004</v>
      </c>
      <c r="AM104" s="79"/>
      <c r="AS104" s="78"/>
    </row>
    <row r="105" spans="1:298">
      <c r="B105" s="4">
        <v>530</v>
      </c>
      <c r="C105">
        <v>54.85</v>
      </c>
      <c r="D105">
        <f>64*0.94*0.19268292</f>
        <v>11.591804467199999</v>
      </c>
      <c r="E105">
        <f t="shared" si="17"/>
        <v>0.64999999999999991</v>
      </c>
      <c r="F105">
        <v>0.7</v>
      </c>
      <c r="G105">
        <v>0.6</v>
      </c>
      <c r="K105">
        <v>0</v>
      </c>
      <c r="L105">
        <v>0.83</v>
      </c>
      <c r="M105" s="7">
        <v>50.696104759999997</v>
      </c>
      <c r="N105">
        <f t="shared" si="16"/>
        <v>527.72269427151355</v>
      </c>
      <c r="O105">
        <f t="shared" si="12"/>
        <v>31.867849999999976</v>
      </c>
      <c r="P105">
        <f t="shared" si="13"/>
        <v>27.315300000000036</v>
      </c>
      <c r="AM105" s="79"/>
      <c r="AS105" s="78"/>
    </row>
    <row r="106" spans="1:298">
      <c r="B106" s="4">
        <v>530</v>
      </c>
      <c r="C106">
        <v>200</v>
      </c>
      <c r="D106">
        <f>64*0.94*0.19878049</f>
        <v>11.9586342784</v>
      </c>
      <c r="E106">
        <f t="shared" si="17"/>
        <v>0.60499999999999998</v>
      </c>
      <c r="F106">
        <v>0.68</v>
      </c>
      <c r="G106">
        <v>0.53</v>
      </c>
      <c r="K106">
        <v>0</v>
      </c>
      <c r="L106">
        <v>0.83</v>
      </c>
      <c r="M106" s="7">
        <v>171.21626000000001</v>
      </c>
      <c r="N106">
        <f t="shared" si="16"/>
        <v>1985.1332902143999</v>
      </c>
      <c r="O106">
        <f t="shared" si="12"/>
        <v>112.88000000000011</v>
      </c>
      <c r="P106">
        <f t="shared" si="13"/>
        <v>87.980000000000018</v>
      </c>
      <c r="AM106" s="79"/>
      <c r="AS106" s="78"/>
    </row>
    <row r="107" spans="1:298" s="53" customFormat="1">
      <c r="A107" s="54" t="s">
        <v>23</v>
      </c>
      <c r="B107" s="51">
        <v>730</v>
      </c>
      <c r="C107" s="53">
        <v>1.5</v>
      </c>
      <c r="D107" s="53">
        <f>0.93*64*0.16424972</f>
        <v>9.7761433344000004</v>
      </c>
      <c r="E107" s="53">
        <f>0.93*64*0.02</f>
        <v>1.1904000000000001</v>
      </c>
      <c r="F107" s="76">
        <v>1.1903999999999999</v>
      </c>
      <c r="G107" s="76">
        <v>1.1903999999999999</v>
      </c>
      <c r="K107" s="53">
        <v>0</v>
      </c>
      <c r="L107" s="53">
        <v>0.83</v>
      </c>
      <c r="M107" s="52">
        <v>1.8710510469999999</v>
      </c>
      <c r="N107" s="53">
        <f t="shared" si="16"/>
        <v>12.171298451327999</v>
      </c>
      <c r="O107">
        <f t="shared" si="12"/>
        <v>1.4820480000000007</v>
      </c>
      <c r="P107">
        <f t="shared" si="13"/>
        <v>1.4820479999999989</v>
      </c>
      <c r="R107" s="33">
        <f>N107+16.774*M107^0.58636</f>
        <v>36.391445323013969</v>
      </c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79"/>
      <c r="AN107" s="33"/>
      <c r="AO107" s="33"/>
      <c r="AP107" s="33"/>
      <c r="AQ107" s="33"/>
      <c r="AR107" s="33"/>
      <c r="AS107" s="78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  <c r="IW107" s="33"/>
      <c r="IX107" s="33"/>
      <c r="IY107" s="33"/>
      <c r="IZ107" s="33"/>
      <c r="JA107" s="33"/>
      <c r="JB107" s="33"/>
      <c r="JC107" s="33"/>
      <c r="JD107" s="33"/>
      <c r="JE107" s="33"/>
      <c r="JF107" s="33"/>
      <c r="JG107" s="33"/>
      <c r="JH107" s="33"/>
      <c r="JI107" s="33"/>
      <c r="JJ107" s="33"/>
      <c r="JK107" s="33"/>
      <c r="JL107" s="33"/>
      <c r="JM107" s="33"/>
      <c r="JN107" s="33"/>
      <c r="JO107" s="33"/>
      <c r="JP107" s="33"/>
      <c r="JQ107" s="33"/>
      <c r="JR107" s="33"/>
      <c r="JS107" s="33"/>
      <c r="JT107" s="33"/>
      <c r="JU107" s="33"/>
      <c r="JV107" s="33"/>
      <c r="JW107" s="33"/>
      <c r="JX107" s="33"/>
      <c r="JY107" s="33"/>
      <c r="JZ107" s="33"/>
      <c r="KA107" s="33"/>
      <c r="KB107" s="33"/>
      <c r="KC107" s="33"/>
      <c r="KD107" s="33"/>
      <c r="KE107" s="33"/>
      <c r="KF107" s="33"/>
      <c r="KG107" s="33"/>
      <c r="KH107" s="33"/>
      <c r="KI107" s="33"/>
      <c r="KJ107" s="33"/>
      <c r="KK107" s="33"/>
      <c r="KL107" s="33"/>
    </row>
    <row r="108" spans="1:298" s="53" customFormat="1">
      <c r="A108" s="65" t="s">
        <v>72</v>
      </c>
      <c r="B108" s="51">
        <v>730</v>
      </c>
      <c r="C108" s="53">
        <v>2</v>
      </c>
      <c r="D108" s="53">
        <f>0.93*64*0.16014193</f>
        <v>9.5316476736000002</v>
      </c>
      <c r="E108" s="53">
        <f>0.93*64*0.019</f>
        <v>1.1308800000000001</v>
      </c>
      <c r="F108" s="76">
        <v>1.1308800000000001</v>
      </c>
      <c r="G108" s="76">
        <v>1.1308800000000001</v>
      </c>
      <c r="K108" s="53">
        <v>0</v>
      </c>
      <c r="L108" s="53">
        <v>0.83</v>
      </c>
      <c r="M108" s="52">
        <v>2.472219301</v>
      </c>
      <c r="N108" s="53">
        <f t="shared" si="16"/>
        <v>15.822535138175999</v>
      </c>
      <c r="O108">
        <f t="shared" si="12"/>
        <v>1.8772608000000002</v>
      </c>
      <c r="P108">
        <f t="shared" si="13"/>
        <v>1.8772607999999984</v>
      </c>
      <c r="R108" s="33">
        <f t="shared" ref="R108:R115" si="18">N108+16.774*M108^0.58636</f>
        <v>44.341064604040589</v>
      </c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79"/>
      <c r="AN108" s="33"/>
      <c r="AO108" s="33"/>
      <c r="AP108" s="33"/>
      <c r="AQ108" s="33"/>
      <c r="AR108" s="33"/>
      <c r="AS108" s="78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  <c r="IW108" s="33"/>
      <c r="IX108" s="33"/>
      <c r="IY108" s="33"/>
      <c r="IZ108" s="33"/>
      <c r="JA108" s="33"/>
      <c r="JB108" s="33"/>
      <c r="JC108" s="33"/>
      <c r="JD108" s="33"/>
      <c r="JE108" s="33"/>
      <c r="JF108" s="33"/>
      <c r="JG108" s="33"/>
      <c r="JH108" s="33"/>
      <c r="JI108" s="33"/>
      <c r="JJ108" s="33"/>
      <c r="JK108" s="33"/>
      <c r="JL108" s="33"/>
      <c r="JM108" s="33"/>
      <c r="JN108" s="33"/>
      <c r="JO108" s="33"/>
      <c r="JP108" s="33"/>
      <c r="JQ108" s="33"/>
      <c r="JR108" s="33"/>
      <c r="JS108" s="33"/>
      <c r="JT108" s="33"/>
      <c r="JU108" s="33"/>
      <c r="JV108" s="33"/>
      <c r="JW108" s="33"/>
      <c r="JX108" s="33"/>
      <c r="JY108" s="33"/>
      <c r="JZ108" s="33"/>
      <c r="KA108" s="33"/>
      <c r="KB108" s="33"/>
      <c r="KC108" s="33"/>
      <c r="KD108" s="33"/>
      <c r="KE108" s="33"/>
      <c r="KF108" s="33"/>
      <c r="KG108" s="33"/>
      <c r="KH108" s="33"/>
      <c r="KI108" s="33"/>
      <c r="KJ108" s="33"/>
      <c r="KK108" s="33"/>
      <c r="KL108" s="33"/>
    </row>
    <row r="109" spans="1:298" s="53" customFormat="1">
      <c r="A109" s="54"/>
      <c r="B109" s="51">
        <v>730</v>
      </c>
      <c r="C109" s="53">
        <v>5</v>
      </c>
      <c r="D109" s="53">
        <f>0.93*64*0.15611783</f>
        <v>9.292133241600002</v>
      </c>
      <c r="E109" s="53">
        <f>0.93*64*0.017</f>
        <v>1.0118400000000001</v>
      </c>
      <c r="F109" s="76">
        <v>1.0118400000000001</v>
      </c>
      <c r="G109" s="76">
        <v>1.0118400000000001</v>
      </c>
      <c r="K109" s="53">
        <v>0</v>
      </c>
      <c r="L109" s="53">
        <v>0.83</v>
      </c>
      <c r="M109" s="52">
        <v>5.8133839700000003</v>
      </c>
      <c r="N109" s="53">
        <f t="shared" si="16"/>
        <v>38.562352952640005</v>
      </c>
      <c r="O109">
        <f t="shared" si="12"/>
        <v>4.1991360000000029</v>
      </c>
      <c r="P109">
        <f t="shared" si="13"/>
        <v>4.1991359999999958</v>
      </c>
      <c r="R109" s="33">
        <f t="shared" si="18"/>
        <v>85.64568959073604</v>
      </c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79"/>
      <c r="AN109" s="33"/>
      <c r="AO109" s="33"/>
      <c r="AP109" s="33"/>
      <c r="AQ109" s="33"/>
      <c r="AR109" s="33"/>
      <c r="AS109" s="78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  <c r="IW109" s="33"/>
      <c r="IX109" s="33"/>
      <c r="IY109" s="33"/>
      <c r="IZ109" s="33"/>
      <c r="JA109" s="33"/>
      <c r="JB109" s="33"/>
      <c r="JC109" s="33"/>
      <c r="JD109" s="33"/>
      <c r="JE109" s="33"/>
      <c r="JF109" s="33"/>
      <c r="JG109" s="33"/>
      <c r="JH109" s="33"/>
      <c r="JI109" s="33"/>
      <c r="JJ109" s="33"/>
      <c r="JK109" s="33"/>
      <c r="JL109" s="33"/>
      <c r="JM109" s="33"/>
      <c r="JN109" s="33"/>
      <c r="JO109" s="33"/>
      <c r="JP109" s="33"/>
      <c r="JQ109" s="33"/>
      <c r="JR109" s="33"/>
      <c r="JS109" s="33"/>
      <c r="JT109" s="33"/>
      <c r="JU109" s="33"/>
      <c r="JV109" s="33"/>
      <c r="JW109" s="33"/>
      <c r="JX109" s="33"/>
      <c r="JY109" s="33"/>
      <c r="JZ109" s="33"/>
      <c r="KA109" s="33"/>
      <c r="KB109" s="33"/>
      <c r="KC109" s="33"/>
      <c r="KD109" s="33"/>
      <c r="KE109" s="33"/>
      <c r="KF109" s="33"/>
      <c r="KG109" s="33"/>
      <c r="KH109" s="33"/>
      <c r="KI109" s="33"/>
      <c r="KJ109" s="33"/>
      <c r="KK109" s="33"/>
      <c r="KL109" s="33"/>
    </row>
    <row r="110" spans="1:298" s="53" customFormat="1">
      <c r="A110" s="54"/>
      <c r="B110" s="51">
        <v>730</v>
      </c>
      <c r="C110" s="53">
        <v>10</v>
      </c>
      <c r="D110" s="53">
        <f>0.93*64*0.1613909</f>
        <v>9.6059863679999999</v>
      </c>
      <c r="E110" s="53">
        <f>0.93*64*0.015</f>
        <v>0.89280000000000004</v>
      </c>
      <c r="F110" s="76">
        <v>0.89280000000000004</v>
      </c>
      <c r="G110" s="76">
        <v>0.89280000000000004</v>
      </c>
      <c r="K110" s="53">
        <v>0</v>
      </c>
      <c r="L110" s="53">
        <v>0.83</v>
      </c>
      <c r="M110" s="52">
        <v>10.93184877</v>
      </c>
      <c r="N110" s="53">
        <f t="shared" si="16"/>
        <v>79.729686854400001</v>
      </c>
      <c r="O110">
        <f t="shared" si="12"/>
        <v>7.4102399999999875</v>
      </c>
      <c r="P110">
        <f t="shared" si="13"/>
        <v>7.4102400000000017</v>
      </c>
      <c r="R110" s="33">
        <f t="shared" si="18"/>
        <v>147.91408742166547</v>
      </c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79"/>
      <c r="AN110" s="33"/>
      <c r="AO110" s="33"/>
      <c r="AP110" s="33"/>
      <c r="AQ110" s="33"/>
      <c r="AR110" s="33"/>
      <c r="AS110" s="78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59"/>
      <c r="BP110" s="33"/>
      <c r="BQ110" s="33"/>
      <c r="BR110" s="33"/>
      <c r="BS110" s="59"/>
      <c r="BT110" s="33"/>
      <c r="BU110" s="33"/>
      <c r="BV110" s="33"/>
      <c r="BW110" s="59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  <c r="IW110" s="33"/>
      <c r="IX110" s="33"/>
      <c r="IY110" s="33"/>
      <c r="IZ110" s="33"/>
      <c r="JA110" s="33"/>
      <c r="JB110" s="33"/>
      <c r="JC110" s="33"/>
      <c r="JD110" s="33"/>
      <c r="JE110" s="33"/>
      <c r="JF110" s="33"/>
      <c r="JG110" s="33"/>
      <c r="JH110" s="33"/>
      <c r="JI110" s="33"/>
      <c r="JJ110" s="33"/>
      <c r="JK110" s="33"/>
      <c r="JL110" s="33"/>
      <c r="JM110" s="33"/>
      <c r="JN110" s="33"/>
      <c r="JO110" s="33"/>
      <c r="JP110" s="33"/>
      <c r="JQ110" s="33"/>
      <c r="JR110" s="33"/>
      <c r="JS110" s="33"/>
      <c r="JT110" s="33"/>
      <c r="JU110" s="33"/>
      <c r="JV110" s="33"/>
      <c r="JW110" s="33"/>
      <c r="JX110" s="33"/>
      <c r="JY110" s="33"/>
      <c r="JZ110" s="33"/>
      <c r="KA110" s="33"/>
      <c r="KB110" s="33"/>
      <c r="KC110" s="33"/>
      <c r="KD110" s="33"/>
      <c r="KE110" s="33"/>
      <c r="KF110" s="33"/>
      <c r="KG110" s="33"/>
      <c r="KH110" s="33"/>
      <c r="KI110" s="33"/>
      <c r="KJ110" s="33"/>
      <c r="KK110" s="33"/>
      <c r="KL110" s="33"/>
    </row>
    <row r="111" spans="1:298" s="53" customFormat="1">
      <c r="A111" s="54"/>
      <c r="B111" s="51">
        <v>730</v>
      </c>
      <c r="C111" s="53">
        <v>15</v>
      </c>
      <c r="D111" s="53">
        <f>0.93*64*0.19408731</f>
        <v>11.552076691200002</v>
      </c>
      <c r="E111" s="53">
        <f>0.93*64*0.015</f>
        <v>0.89280000000000004</v>
      </c>
      <c r="F111" s="76">
        <v>0.89280000000000004</v>
      </c>
      <c r="G111" s="76">
        <v>0.89280000000000004</v>
      </c>
      <c r="K111" s="53">
        <v>0</v>
      </c>
      <c r="L111" s="53">
        <v>0.83</v>
      </c>
      <c r="M111" s="52">
        <v>15.77627558</v>
      </c>
      <c r="N111" s="53">
        <f t="shared" si="16"/>
        <v>143.82335480544</v>
      </c>
      <c r="O111">
        <f t="shared" si="12"/>
        <v>11.11536000000001</v>
      </c>
      <c r="P111">
        <f t="shared" si="13"/>
        <v>11.115359999999981</v>
      </c>
      <c r="R111" s="33">
        <f t="shared" si="18"/>
        <v>228.37042213112505</v>
      </c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59"/>
      <c r="AJ111" s="33"/>
      <c r="AK111" s="33"/>
      <c r="AL111" s="33"/>
      <c r="AM111" s="79"/>
      <c r="AN111" s="33"/>
      <c r="AO111" s="33"/>
      <c r="AP111" s="33"/>
      <c r="AQ111" s="33"/>
      <c r="AR111" s="33"/>
      <c r="AS111" s="78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59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59"/>
      <c r="CP111" s="33"/>
      <c r="CQ111" s="33"/>
      <c r="CR111" s="33"/>
      <c r="CS111" s="33"/>
      <c r="CT111" s="33"/>
      <c r="CU111" s="33"/>
      <c r="CV111" s="33"/>
      <c r="CW111" s="59"/>
      <c r="CX111" s="33"/>
      <c r="CY111" s="33"/>
      <c r="CZ111" s="33"/>
      <c r="DA111" s="33"/>
      <c r="DB111" s="33"/>
      <c r="DC111" s="33"/>
      <c r="DD111" s="33"/>
      <c r="DE111" s="59"/>
      <c r="DF111" s="33"/>
      <c r="DG111" s="33"/>
      <c r="DH111" s="33"/>
      <c r="DI111" s="33"/>
      <c r="DJ111" s="33"/>
      <c r="DK111" s="33"/>
      <c r="DL111" s="33"/>
      <c r="DM111" s="59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  <c r="IW111" s="33"/>
      <c r="IX111" s="33"/>
      <c r="IY111" s="33"/>
      <c r="IZ111" s="33"/>
      <c r="JA111" s="33"/>
      <c r="JB111" s="33"/>
      <c r="JC111" s="33"/>
      <c r="JD111" s="33"/>
      <c r="JE111" s="33"/>
      <c r="JF111" s="33"/>
      <c r="JG111" s="33"/>
      <c r="JH111" s="33"/>
      <c r="JI111" s="33"/>
      <c r="JJ111" s="33"/>
      <c r="JK111" s="33"/>
      <c r="JL111" s="33"/>
      <c r="JM111" s="33"/>
      <c r="JN111" s="33"/>
      <c r="JO111" s="33"/>
      <c r="JP111" s="33"/>
      <c r="JQ111" s="33"/>
      <c r="JR111" s="33"/>
      <c r="JS111" s="33"/>
      <c r="JT111" s="33"/>
      <c r="JU111" s="33"/>
      <c r="JV111" s="33"/>
      <c r="JW111" s="33"/>
      <c r="JX111" s="33"/>
      <c r="JY111" s="33"/>
      <c r="JZ111" s="33"/>
      <c r="KA111" s="33"/>
      <c r="KB111" s="33"/>
      <c r="KC111" s="33"/>
      <c r="KD111" s="33"/>
      <c r="KE111" s="33"/>
      <c r="KF111" s="33"/>
      <c r="KG111" s="33"/>
      <c r="KH111" s="33"/>
      <c r="KI111" s="33"/>
      <c r="KJ111" s="33"/>
      <c r="KK111" s="33"/>
      <c r="KL111" s="33"/>
    </row>
    <row r="112" spans="1:298" s="53" customFormat="1">
      <c r="A112" s="54"/>
      <c r="B112" s="51">
        <v>730</v>
      </c>
      <c r="C112" s="53">
        <v>25</v>
      </c>
      <c r="D112" s="53">
        <f>0.93*64*0.22006209</f>
        <v>13.0980955968</v>
      </c>
      <c r="E112" s="53">
        <f>0.93*64*0.015</f>
        <v>0.89280000000000004</v>
      </c>
      <c r="F112" s="76">
        <v>0.89280000000000004</v>
      </c>
      <c r="G112" s="76">
        <v>0.89280000000000004</v>
      </c>
      <c r="K112" s="53">
        <v>0</v>
      </c>
      <c r="L112" s="53">
        <v>0.83</v>
      </c>
      <c r="M112" s="52">
        <v>25.00900635</v>
      </c>
      <c r="N112" s="53">
        <f t="shared" si="16"/>
        <v>271.78548363359999</v>
      </c>
      <c r="O112">
        <f t="shared" si="12"/>
        <v>18.52559999999994</v>
      </c>
      <c r="P112">
        <f t="shared" si="13"/>
        <v>18.525599999999969</v>
      </c>
      <c r="R112" s="33">
        <f t="shared" si="18"/>
        <v>382.5560727319488</v>
      </c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79"/>
      <c r="AN112" s="33"/>
      <c r="AO112" s="33"/>
      <c r="AP112" s="33"/>
      <c r="AQ112" s="33"/>
      <c r="AR112" s="33"/>
      <c r="AS112" s="78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  <c r="IW112" s="33"/>
      <c r="IX112" s="33"/>
      <c r="IY112" s="33"/>
      <c r="IZ112" s="33"/>
      <c r="JA112" s="33"/>
      <c r="JB112" s="33"/>
      <c r="JC112" s="33"/>
      <c r="JD112" s="33"/>
      <c r="JE112" s="33"/>
      <c r="JF112" s="33"/>
      <c r="JG112" s="33"/>
      <c r="JH112" s="33"/>
      <c r="JI112" s="33"/>
      <c r="JJ112" s="33"/>
      <c r="JK112" s="33"/>
      <c r="JL112" s="33"/>
      <c r="JM112" s="33"/>
      <c r="JN112" s="33"/>
      <c r="JO112" s="33"/>
      <c r="JP112" s="33"/>
      <c r="JQ112" s="33"/>
      <c r="JR112" s="33"/>
      <c r="JS112" s="33"/>
      <c r="JT112" s="33"/>
      <c r="JU112" s="33"/>
      <c r="JV112" s="33"/>
      <c r="JW112" s="33"/>
      <c r="JX112" s="33"/>
      <c r="JY112" s="33"/>
      <c r="JZ112" s="33"/>
      <c r="KA112" s="33"/>
      <c r="KB112" s="33"/>
      <c r="KC112" s="33"/>
      <c r="KD112" s="33"/>
      <c r="KE112" s="33"/>
      <c r="KF112" s="33"/>
      <c r="KG112" s="33"/>
      <c r="KH112" s="33"/>
      <c r="KI112" s="33"/>
      <c r="KJ112" s="33"/>
      <c r="KK112" s="33"/>
      <c r="KL112" s="33"/>
    </row>
    <row r="113" spans="1:298" s="53" customFormat="1">
      <c r="A113" s="54"/>
      <c r="B113" s="51">
        <v>730</v>
      </c>
      <c r="C113" s="53">
        <v>50</v>
      </c>
      <c r="D113" s="53">
        <f>0.93*64*0.23725228</f>
        <v>14.121255705600001</v>
      </c>
      <c r="E113" s="53">
        <f>0.93*64*0.014</f>
        <v>0.83328000000000002</v>
      </c>
      <c r="F113" s="76">
        <v>0.83328000000000002</v>
      </c>
      <c r="G113" s="76">
        <v>0.83328000000000002</v>
      </c>
      <c r="K113" s="53">
        <v>0</v>
      </c>
      <c r="L113" s="53">
        <v>0.83</v>
      </c>
      <c r="M113" s="52">
        <v>46.667089320000002</v>
      </c>
      <c r="N113" s="53">
        <f t="shared" si="16"/>
        <v>586.03211178240008</v>
      </c>
      <c r="O113">
        <f t="shared" si="12"/>
        <v>34.581119999999942</v>
      </c>
      <c r="P113">
        <f t="shared" si="13"/>
        <v>34.581120000000055</v>
      </c>
      <c r="R113" s="33">
        <f t="shared" si="18"/>
        <v>745.72212656999955</v>
      </c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79"/>
      <c r="AN113" s="33"/>
      <c r="AO113" s="33"/>
      <c r="AP113" s="33"/>
      <c r="AQ113" s="33"/>
      <c r="AR113" s="33"/>
      <c r="AS113" s="78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  <c r="IW113" s="33"/>
      <c r="IX113" s="33"/>
      <c r="IY113" s="33"/>
      <c r="IZ113" s="33"/>
      <c r="JA113" s="33"/>
      <c r="JB113" s="33"/>
      <c r="JC113" s="33"/>
      <c r="JD113" s="33"/>
      <c r="JE113" s="33"/>
      <c r="JF113" s="33"/>
      <c r="JG113" s="33"/>
      <c r="JH113" s="33"/>
      <c r="JI113" s="33"/>
      <c r="JJ113" s="33"/>
      <c r="JK113" s="33"/>
      <c r="JL113" s="33"/>
      <c r="JM113" s="33"/>
      <c r="JN113" s="33"/>
      <c r="JO113" s="33"/>
      <c r="JP113" s="33"/>
      <c r="JQ113" s="33"/>
      <c r="JR113" s="33"/>
      <c r="JS113" s="33"/>
      <c r="JT113" s="33"/>
      <c r="JU113" s="33"/>
      <c r="JV113" s="33"/>
      <c r="JW113" s="33"/>
      <c r="JX113" s="33"/>
      <c r="JY113" s="33"/>
      <c r="JZ113" s="33"/>
      <c r="KA113" s="33"/>
      <c r="KB113" s="33"/>
      <c r="KC113" s="33"/>
      <c r="KD113" s="33"/>
      <c r="KE113" s="33"/>
      <c r="KF113" s="33"/>
      <c r="KG113" s="33"/>
      <c r="KH113" s="33"/>
      <c r="KI113" s="33"/>
      <c r="KJ113" s="33"/>
      <c r="KK113" s="33"/>
      <c r="KL113" s="33"/>
    </row>
    <row r="114" spans="1:298" s="53" customFormat="1">
      <c r="A114" s="54"/>
      <c r="B114" s="51">
        <v>730</v>
      </c>
      <c r="C114" s="53">
        <v>100</v>
      </c>
      <c r="D114" s="53">
        <f>0.93*64*0.2746497</f>
        <v>16.347150144</v>
      </c>
      <c r="E114" s="53">
        <f>0.93*64*0.012</f>
        <v>0.7142400000000001</v>
      </c>
      <c r="F114" s="76">
        <v>0.71423999999999999</v>
      </c>
      <c r="G114" s="76">
        <v>0.71423999999999999</v>
      </c>
      <c r="K114" s="53">
        <v>0</v>
      </c>
      <c r="L114" s="53">
        <v>0.83</v>
      </c>
      <c r="M114" s="52">
        <v>87.015236259999995</v>
      </c>
      <c r="N114" s="53">
        <f t="shared" si="16"/>
        <v>1356.8134619519999</v>
      </c>
      <c r="O114">
        <f t="shared" si="12"/>
        <v>59.281920000000127</v>
      </c>
      <c r="P114">
        <f t="shared" si="13"/>
        <v>59.2819199999999</v>
      </c>
      <c r="R114" s="33">
        <f t="shared" si="18"/>
        <v>1586.9246533387886</v>
      </c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79"/>
      <c r="AN114" s="33"/>
      <c r="AO114" s="33"/>
      <c r="AP114" s="33"/>
      <c r="AQ114" s="33"/>
      <c r="AR114" s="33"/>
      <c r="AS114" s="78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  <c r="IW114" s="33"/>
      <c r="IX114" s="33"/>
      <c r="IY114" s="33"/>
      <c r="IZ114" s="33"/>
      <c r="JA114" s="33"/>
      <c r="JB114" s="33"/>
      <c r="JC114" s="33"/>
      <c r="JD114" s="33"/>
      <c r="JE114" s="33"/>
      <c r="JF114" s="33"/>
      <c r="JG114" s="33"/>
      <c r="JH114" s="33"/>
      <c r="JI114" s="33"/>
      <c r="JJ114" s="33"/>
      <c r="JK114" s="33"/>
      <c r="JL114" s="33"/>
      <c r="JM114" s="33"/>
      <c r="JN114" s="33"/>
      <c r="JO114" s="33"/>
      <c r="JP114" s="33"/>
      <c r="JQ114" s="33"/>
      <c r="JR114" s="33"/>
      <c r="JS114" s="33"/>
      <c r="JT114" s="33"/>
      <c r="JU114" s="33"/>
      <c r="JV114" s="33"/>
      <c r="JW114" s="33"/>
      <c r="JX114" s="33"/>
      <c r="JY114" s="33"/>
      <c r="JZ114" s="33"/>
      <c r="KA114" s="33"/>
      <c r="KB114" s="33"/>
      <c r="KC114" s="33"/>
      <c r="KD114" s="33"/>
      <c r="KE114" s="33"/>
      <c r="KF114" s="33"/>
      <c r="KG114" s="33"/>
      <c r="KH114" s="33"/>
      <c r="KI114" s="33"/>
      <c r="KJ114" s="33"/>
      <c r="KK114" s="33"/>
      <c r="KL114" s="33"/>
    </row>
    <row r="115" spans="1:298" s="53" customFormat="1">
      <c r="A115" s="54"/>
      <c r="B115" s="51">
        <v>730</v>
      </c>
      <c r="C115" s="53">
        <v>150</v>
      </c>
      <c r="D115" s="53">
        <f>0.93*64*0.30838138</f>
        <v>18.354859737599998</v>
      </c>
      <c r="E115" s="53">
        <f>0.93*64*0.01</f>
        <v>0.59520000000000006</v>
      </c>
      <c r="F115" s="76">
        <v>0.59519999999999995</v>
      </c>
      <c r="G115" s="76">
        <v>0.59519999999999995</v>
      </c>
      <c r="K115" s="53">
        <v>0</v>
      </c>
      <c r="L115" s="53">
        <v>0.83</v>
      </c>
      <c r="M115" s="52">
        <v>125.2571842</v>
      </c>
      <c r="N115" s="53">
        <f t="shared" si="16"/>
        <v>2285.1800373311994</v>
      </c>
      <c r="O115">
        <f t="shared" si="12"/>
        <v>74.102400000000216</v>
      </c>
      <c r="P115">
        <f t="shared" si="13"/>
        <v>74.102399999999761</v>
      </c>
      <c r="R115" s="33">
        <f t="shared" si="18"/>
        <v>2570.0877442351016</v>
      </c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79"/>
      <c r="AN115" s="33"/>
      <c r="AO115" s="33"/>
      <c r="AP115" s="33"/>
      <c r="AQ115" s="33"/>
      <c r="AR115" s="33"/>
      <c r="AS115" s="78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  <c r="IW115" s="33"/>
      <c r="IX115" s="33"/>
      <c r="IY115" s="33"/>
      <c r="IZ115" s="33"/>
      <c r="JA115" s="33"/>
      <c r="JB115" s="33"/>
      <c r="JC115" s="33"/>
      <c r="JD115" s="33"/>
      <c r="JE115" s="33"/>
      <c r="JF115" s="33"/>
      <c r="JG115" s="33"/>
      <c r="JH115" s="33"/>
      <c r="JI115" s="33"/>
      <c r="JJ115" s="33"/>
      <c r="JK115" s="33"/>
      <c r="JL115" s="33"/>
      <c r="JM115" s="33"/>
      <c r="JN115" s="33"/>
      <c r="JO115" s="33"/>
      <c r="JP115" s="33"/>
      <c r="JQ115" s="33"/>
      <c r="JR115" s="33"/>
      <c r="JS115" s="33"/>
      <c r="JT115" s="33"/>
      <c r="JU115" s="33"/>
      <c r="JV115" s="33"/>
      <c r="JW115" s="33"/>
      <c r="JX115" s="33"/>
      <c r="JY115" s="33"/>
      <c r="JZ115" s="33"/>
      <c r="KA115" s="33"/>
      <c r="KB115" s="33"/>
      <c r="KC115" s="33"/>
      <c r="KD115" s="33"/>
      <c r="KE115" s="33"/>
      <c r="KF115" s="33"/>
      <c r="KG115" s="33"/>
      <c r="KH115" s="33"/>
      <c r="KI115" s="33"/>
      <c r="KJ115" s="33"/>
      <c r="KK115" s="33"/>
      <c r="KL115" s="33"/>
    </row>
    <row r="116" spans="1:298" s="53" customFormat="1">
      <c r="A116" s="54"/>
      <c r="B116" s="51">
        <v>730</v>
      </c>
      <c r="C116" s="53">
        <v>300</v>
      </c>
      <c r="D116" s="53">
        <v>18</v>
      </c>
      <c r="E116" s="53">
        <f>(F116+G116)/2</f>
        <v>2.75</v>
      </c>
      <c r="F116" s="53">
        <v>3.5</v>
      </c>
      <c r="G116" s="53">
        <v>2</v>
      </c>
      <c r="H116" s="53">
        <v>55</v>
      </c>
      <c r="I116" s="53">
        <v>50</v>
      </c>
      <c r="J116" s="53">
        <f>(H116+I116)/2</f>
        <v>52.5</v>
      </c>
      <c r="K116" s="53">
        <v>0</v>
      </c>
      <c r="L116" s="53">
        <v>0.83</v>
      </c>
      <c r="M116" s="52">
        <v>300</v>
      </c>
      <c r="N116" s="53">
        <f t="shared" si="16"/>
        <v>4482</v>
      </c>
      <c r="O116">
        <f t="shared" si="12"/>
        <v>871.5</v>
      </c>
      <c r="P116">
        <f t="shared" si="13"/>
        <v>498</v>
      </c>
      <c r="R116" s="33">
        <f>5400+16.774*M116^0.58636</f>
        <v>5875.4681798516349</v>
      </c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79"/>
      <c r="AN116" s="33"/>
      <c r="AO116" s="33"/>
      <c r="AP116" s="33"/>
      <c r="AQ116" s="33"/>
      <c r="AR116" s="33"/>
      <c r="AS116" s="78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  <c r="IW116" s="33"/>
      <c r="IX116" s="33"/>
      <c r="IY116" s="33"/>
      <c r="IZ116" s="33"/>
      <c r="JA116" s="33"/>
      <c r="JB116" s="33"/>
      <c r="JC116" s="33"/>
      <c r="JD116" s="33"/>
      <c r="JE116" s="33"/>
      <c r="JF116" s="33"/>
      <c r="JG116" s="33"/>
      <c r="JH116" s="33"/>
      <c r="JI116" s="33"/>
      <c r="JJ116" s="33"/>
      <c r="JK116" s="33"/>
      <c r="JL116" s="33"/>
      <c r="JM116" s="33"/>
      <c r="JN116" s="33"/>
      <c r="JO116" s="33"/>
      <c r="JP116" s="33"/>
      <c r="JQ116" s="33"/>
      <c r="JR116" s="33"/>
      <c r="JS116" s="33"/>
      <c r="JT116" s="33"/>
      <c r="JU116" s="33"/>
      <c r="JV116" s="33"/>
      <c r="JW116" s="33"/>
      <c r="JX116" s="33"/>
      <c r="JY116" s="33"/>
      <c r="JZ116" s="33"/>
      <c r="KA116" s="33"/>
      <c r="KB116" s="33"/>
      <c r="KC116" s="33"/>
      <c r="KD116" s="33"/>
      <c r="KE116" s="33"/>
      <c r="KF116" s="33"/>
      <c r="KG116" s="33"/>
      <c r="KH116" s="33"/>
      <c r="KI116" s="33"/>
      <c r="KJ116" s="33"/>
      <c r="KK116" s="33"/>
      <c r="KL116" s="33"/>
    </row>
    <row r="117" spans="1:298">
      <c r="A117" s="47" t="s">
        <v>10</v>
      </c>
      <c r="B117" s="4">
        <v>730</v>
      </c>
      <c r="C117">
        <v>3.9</v>
      </c>
      <c r="D117">
        <f>1.19*0.073*64</f>
        <v>5.5596799999999993</v>
      </c>
      <c r="E117">
        <f>SQRT((0.52/1.19*D117)^2+(0.5*(F117+G117))^2)</f>
        <v>3.4046676250266334</v>
      </c>
      <c r="F117">
        <v>2.4621291598999999</v>
      </c>
      <c r="G117">
        <v>2.308440166</v>
      </c>
      <c r="H117">
        <v>0.9</v>
      </c>
      <c r="I117">
        <v>0.9</v>
      </c>
      <c r="J117">
        <v>0.9</v>
      </c>
      <c r="K117">
        <v>0</v>
      </c>
      <c r="L117">
        <v>1</v>
      </c>
      <c r="M117">
        <f>C117</f>
        <v>3.9</v>
      </c>
      <c r="N117">
        <f t="shared" si="16"/>
        <v>21.682751999999997</v>
      </c>
      <c r="O117">
        <f t="shared" si="12"/>
        <v>9.602303723609996</v>
      </c>
      <c r="P117">
        <f t="shared" si="13"/>
        <v>9.0029166474000011</v>
      </c>
      <c r="Q117" t="s">
        <v>89</v>
      </c>
      <c r="AM117" s="79"/>
      <c r="AS117" s="78"/>
    </row>
    <row r="118" spans="1:298">
      <c r="A118" s="65" t="s">
        <v>77</v>
      </c>
      <c r="B118" s="4">
        <v>730</v>
      </c>
      <c r="C118">
        <v>4.9000000000000004</v>
      </c>
      <c r="D118">
        <f>1.16*0.088*64</f>
        <v>6.5331199999999994</v>
      </c>
      <c r="E118">
        <f>SQRT((0.45/1.16*D118)^2+(0.5*(F118+G118))^2)</f>
        <v>3.51646046870726</v>
      </c>
      <c r="F118">
        <v>2.3532513678</v>
      </c>
      <c r="G118">
        <v>2.5221197433999998</v>
      </c>
      <c r="H118">
        <v>0.9</v>
      </c>
      <c r="I118">
        <v>0.9</v>
      </c>
      <c r="J118">
        <v>0.9</v>
      </c>
      <c r="K118">
        <v>0</v>
      </c>
      <c r="L118">
        <v>1</v>
      </c>
      <c r="M118">
        <f t="shared" ref="M118:M129" si="19">C118</f>
        <v>4.9000000000000004</v>
      </c>
      <c r="N118">
        <f t="shared" si="16"/>
        <v>32.012287999999998</v>
      </c>
      <c r="O118">
        <f t="shared" si="12"/>
        <v>11.530931702220002</v>
      </c>
      <c r="P118">
        <f t="shared" si="13"/>
        <v>12.358386742660002</v>
      </c>
      <c r="AM118" s="79"/>
      <c r="AS118" s="78"/>
    </row>
    <row r="119" spans="1:298">
      <c r="B119" s="4">
        <v>730</v>
      </c>
      <c r="C119">
        <v>5.7</v>
      </c>
      <c r="D119">
        <f>1.35*0.077*64</f>
        <v>6.6528</v>
      </c>
      <c r="E119">
        <f>SQRT((0.67/1.35*D119)^2+(0.5*(F119+G119))^2)</f>
        <v>4.0437544278120612</v>
      </c>
      <c r="F119">
        <v>2.4894272434000002</v>
      </c>
      <c r="G119">
        <v>2.1797614547999999</v>
      </c>
      <c r="H119">
        <v>1.1000000000000001</v>
      </c>
      <c r="I119">
        <v>1.1000000000000001</v>
      </c>
      <c r="J119">
        <v>1.1000000000000001</v>
      </c>
      <c r="K119">
        <v>0</v>
      </c>
      <c r="L119">
        <v>1</v>
      </c>
      <c r="M119">
        <f t="shared" si="19"/>
        <v>5.7</v>
      </c>
      <c r="N119">
        <f t="shared" si="16"/>
        <v>37.920960000000001</v>
      </c>
      <c r="O119">
        <f t="shared" si="12"/>
        <v>14.189735287380003</v>
      </c>
      <c r="P119">
        <f t="shared" si="13"/>
        <v>12.424640292360003</v>
      </c>
      <c r="AM119" s="79"/>
      <c r="AS119" s="78"/>
    </row>
    <row r="120" spans="1:298">
      <c r="B120" s="4">
        <v>730</v>
      </c>
      <c r="C120">
        <v>6.4</v>
      </c>
      <c r="D120">
        <f>0.92*0.094*64</f>
        <v>5.5347200000000001</v>
      </c>
      <c r="E120">
        <f>SQRT((0.37/0.92*D120)^2+(0.5*(F120+G120))^2)</f>
        <v>3.2005958649978554</v>
      </c>
      <c r="F120">
        <v>2.2699709249</v>
      </c>
      <c r="G120">
        <v>2.3296351646</v>
      </c>
      <c r="H120">
        <v>1.1000000000000001</v>
      </c>
      <c r="I120">
        <v>1.1000000000000001</v>
      </c>
      <c r="J120">
        <v>1.1000000000000001</v>
      </c>
      <c r="K120">
        <v>0</v>
      </c>
      <c r="L120">
        <v>1</v>
      </c>
      <c r="M120">
        <f t="shared" si="19"/>
        <v>6.4</v>
      </c>
      <c r="N120">
        <f t="shared" si="16"/>
        <v>35.422208000000005</v>
      </c>
      <c r="O120">
        <f t="shared" si="12"/>
        <v>14.52781391936</v>
      </c>
      <c r="P120">
        <f t="shared" si="13"/>
        <v>14.909665053440001</v>
      </c>
      <c r="AM120" s="79"/>
      <c r="AS120" s="78"/>
    </row>
    <row r="121" spans="1:298">
      <c r="B121" s="4">
        <v>730</v>
      </c>
      <c r="C121">
        <v>7.6</v>
      </c>
      <c r="D121">
        <f>0.79*0.105*64</f>
        <v>5.3087999999999997</v>
      </c>
      <c r="E121">
        <f>SQRT((0.28/0.79*D121)^2+(0.5*(F121+G121))^2)</f>
        <v>3.0398595475465773</v>
      </c>
      <c r="F121">
        <v>2.4454365663000002</v>
      </c>
      <c r="G121">
        <v>2.3296351646</v>
      </c>
      <c r="H121">
        <v>1.2</v>
      </c>
      <c r="I121">
        <v>1.2</v>
      </c>
      <c r="J121">
        <v>1.2</v>
      </c>
      <c r="K121">
        <v>0</v>
      </c>
      <c r="L121">
        <v>1</v>
      </c>
      <c r="M121">
        <f t="shared" si="19"/>
        <v>7.6</v>
      </c>
      <c r="N121">
        <f t="shared" si="16"/>
        <v>40.346879999999999</v>
      </c>
      <c r="O121">
        <f t="shared" si="12"/>
        <v>18.585317903879996</v>
      </c>
      <c r="P121">
        <f t="shared" si="13"/>
        <v>17.70522725096</v>
      </c>
      <c r="AM121" s="79"/>
      <c r="AS121" s="78"/>
    </row>
    <row r="122" spans="1:298">
      <c r="B122" s="4">
        <v>730</v>
      </c>
      <c r="C122">
        <v>9.8000000000000007</v>
      </c>
      <c r="D122">
        <f>0.91*0.118*64</f>
        <v>6.8723200000000002</v>
      </c>
      <c r="E122">
        <f>SQRT((0.17/0.91*D122)^2+(0.5*(F122+G122))^2)</f>
        <v>2.6022877964673161</v>
      </c>
      <c r="F122">
        <v>2.5358864327999999</v>
      </c>
      <c r="G122">
        <v>1.9912126958</v>
      </c>
      <c r="H122">
        <v>1.3</v>
      </c>
      <c r="I122">
        <v>1.3</v>
      </c>
      <c r="J122">
        <v>1.3</v>
      </c>
      <c r="K122">
        <v>0</v>
      </c>
      <c r="L122">
        <v>1</v>
      </c>
      <c r="M122">
        <f t="shared" si="19"/>
        <v>9.8000000000000007</v>
      </c>
      <c r="N122">
        <f t="shared" si="16"/>
        <v>67.348736000000002</v>
      </c>
      <c r="O122">
        <f t="shared" si="12"/>
        <v>24.851687041440002</v>
      </c>
      <c r="P122">
        <f t="shared" si="13"/>
        <v>19.513884418839993</v>
      </c>
      <c r="AM122" s="79"/>
      <c r="AS122" s="78"/>
    </row>
    <row r="123" spans="1:298">
      <c r="B123" s="4">
        <v>730</v>
      </c>
      <c r="C123">
        <v>15.1</v>
      </c>
      <c r="D123">
        <f>0.83*0.123*64</f>
        <v>6.53376</v>
      </c>
      <c r="E123">
        <f>SQRT((0.16/0.83*D123)^2+(0.5*(F123+G123))^2)</f>
        <v>2.3618323739171103</v>
      </c>
      <c r="F123">
        <v>2.2726759558</v>
      </c>
      <c r="G123">
        <v>1.7232527383</v>
      </c>
      <c r="H123">
        <v>1.5</v>
      </c>
      <c r="I123">
        <v>1.5</v>
      </c>
      <c r="J123">
        <v>1.5</v>
      </c>
      <c r="K123">
        <v>0</v>
      </c>
      <c r="L123">
        <v>1</v>
      </c>
      <c r="M123">
        <f t="shared" si="19"/>
        <v>15.1</v>
      </c>
      <c r="N123">
        <f t="shared" si="16"/>
        <v>98.659775999999994</v>
      </c>
      <c r="O123">
        <f t="shared" si="12"/>
        <v>34.317406932579985</v>
      </c>
      <c r="P123">
        <f t="shared" si="13"/>
        <v>26.021116348329997</v>
      </c>
      <c r="AM123" s="79"/>
      <c r="AS123" s="78"/>
    </row>
    <row r="124" spans="1:298">
      <c r="B124" s="4">
        <v>730</v>
      </c>
      <c r="C124">
        <v>19.600000000000001</v>
      </c>
      <c r="D124">
        <f>0.7*0.157*64</f>
        <v>7.0335999999999999</v>
      </c>
      <c r="E124">
        <f>SQRT((0.06/0.7*D124)^2+(0.5*(F124+G124))^2)</f>
        <v>2.8609386789774773</v>
      </c>
      <c r="F124">
        <v>2.9881900877000001</v>
      </c>
      <c r="G124">
        <v>2.6052009519000001</v>
      </c>
      <c r="H124">
        <v>2.6</v>
      </c>
      <c r="I124">
        <v>2.6</v>
      </c>
      <c r="J124">
        <v>2.6</v>
      </c>
      <c r="K124">
        <v>0</v>
      </c>
      <c r="L124">
        <v>1</v>
      </c>
      <c r="M124">
        <f t="shared" si="19"/>
        <v>19.600000000000001</v>
      </c>
      <c r="N124">
        <f t="shared" si="16"/>
        <v>137.85856000000001</v>
      </c>
      <c r="O124">
        <f t="shared" si="12"/>
        <v>58.56852571892</v>
      </c>
      <c r="P124">
        <f t="shared" si="13"/>
        <v>51.06193865724002</v>
      </c>
      <c r="AM124" s="79"/>
      <c r="AS124" s="78"/>
    </row>
    <row r="125" spans="1:298">
      <c r="B125" s="4">
        <v>730</v>
      </c>
      <c r="C125">
        <v>25.7</v>
      </c>
      <c r="D125">
        <f>0.95*0.132*64</f>
        <v>8.0256000000000007</v>
      </c>
      <c r="E125">
        <f>SQRT((0.06/0.95*D125)^2+(0.5*(F125+G125))^2)</f>
        <v>1.5249419344036872</v>
      </c>
      <c r="F125">
        <v>1.6012794883999999</v>
      </c>
      <c r="G125">
        <v>1.2751909661</v>
      </c>
      <c r="H125">
        <v>2</v>
      </c>
      <c r="I125">
        <v>2</v>
      </c>
      <c r="J125">
        <v>2</v>
      </c>
      <c r="K125">
        <v>0</v>
      </c>
      <c r="L125">
        <v>1</v>
      </c>
      <c r="M125">
        <f t="shared" si="19"/>
        <v>25.7</v>
      </c>
      <c r="N125">
        <f t="shared" si="16"/>
        <v>206.25792000000001</v>
      </c>
      <c r="O125">
        <f t="shared" si="12"/>
        <v>41.15288285187998</v>
      </c>
      <c r="P125">
        <f t="shared" si="13"/>
        <v>32.772407828770014</v>
      </c>
      <c r="AM125" s="79"/>
      <c r="AS125" s="78"/>
    </row>
    <row r="126" spans="1:298">
      <c r="B126" s="4">
        <v>730</v>
      </c>
      <c r="C126">
        <v>34.9</v>
      </c>
      <c r="D126">
        <f>1.33*0.133*64</f>
        <v>11.320960000000001</v>
      </c>
      <c r="E126">
        <f>SQRT((0.26/1.33*D126)^2+(0.5*(F126+G126))^2)</f>
        <v>3.2801211690836247</v>
      </c>
      <c r="F126">
        <v>2.8334007835000001</v>
      </c>
      <c r="G126">
        <v>2.0086214178000001</v>
      </c>
      <c r="H126">
        <v>2.1</v>
      </c>
      <c r="I126">
        <v>2.1</v>
      </c>
      <c r="J126">
        <v>2.1</v>
      </c>
      <c r="K126">
        <v>0</v>
      </c>
      <c r="L126">
        <v>1</v>
      </c>
      <c r="M126">
        <f t="shared" si="19"/>
        <v>34.9</v>
      </c>
      <c r="N126">
        <f t="shared" si="16"/>
        <v>395.10150400000003</v>
      </c>
      <c r="O126">
        <f t="shared" si="12"/>
        <v>98.885687344149972</v>
      </c>
      <c r="P126">
        <f t="shared" si="13"/>
        <v>70.100887481220013</v>
      </c>
      <c r="AM126" s="79"/>
      <c r="AS126" s="78"/>
    </row>
    <row r="127" spans="1:298">
      <c r="B127" s="4">
        <v>730</v>
      </c>
      <c r="C127">
        <v>46.1</v>
      </c>
      <c r="D127">
        <f>0.97*0.158*64</f>
        <v>9.8086400000000005</v>
      </c>
      <c r="E127">
        <f>SQRT((0.08/0.97*D127)^2+(0.5*(F127+G127))^2)</f>
        <v>2.6639963882172135</v>
      </c>
      <c r="F127">
        <v>2.5148009862</v>
      </c>
      <c r="G127">
        <v>2.5615995002999998</v>
      </c>
      <c r="H127">
        <v>4.9000000000000004</v>
      </c>
      <c r="I127">
        <v>4.9000000000000004</v>
      </c>
      <c r="J127">
        <v>4.9000000000000004</v>
      </c>
      <c r="K127">
        <v>0</v>
      </c>
      <c r="L127">
        <v>1</v>
      </c>
      <c r="M127">
        <f t="shared" si="19"/>
        <v>46.1</v>
      </c>
      <c r="N127">
        <f t="shared" si="16"/>
        <v>452.17830400000003</v>
      </c>
      <c r="O127">
        <f t="shared" si="12"/>
        <v>115.93232546382001</v>
      </c>
      <c r="P127">
        <f t="shared" si="13"/>
        <v>118.08973696382998</v>
      </c>
      <c r="AM127" s="79"/>
      <c r="AS127" s="78"/>
    </row>
    <row r="128" spans="1:298">
      <c r="B128" s="4">
        <v>730</v>
      </c>
      <c r="C128">
        <v>57.7</v>
      </c>
      <c r="D128">
        <f>0.95*0.182*64</f>
        <v>11.0656</v>
      </c>
      <c r="E128">
        <f>SQRT((0.05/0.95*D128)^2+(0.5*(F128+G128))^2)</f>
        <v>0.84351657949251102</v>
      </c>
      <c r="F128">
        <v>0.63032689929999997</v>
      </c>
      <c r="G128">
        <v>0.59005084529999996</v>
      </c>
      <c r="H128">
        <v>3.2</v>
      </c>
      <c r="I128">
        <v>3.2</v>
      </c>
      <c r="J128">
        <v>3.2</v>
      </c>
      <c r="K128">
        <v>0</v>
      </c>
      <c r="L128">
        <v>1</v>
      </c>
      <c r="M128">
        <f t="shared" si="19"/>
        <v>57.7</v>
      </c>
      <c r="N128">
        <f t="shared" si="16"/>
        <v>638.48512000000005</v>
      </c>
      <c r="O128">
        <f t="shared" si="12"/>
        <v>36.369862089610024</v>
      </c>
      <c r="P128">
        <f t="shared" si="13"/>
        <v>34.04593377381002</v>
      </c>
      <c r="AM128" s="79"/>
      <c r="AS128" s="78"/>
    </row>
    <row r="129" spans="1:298">
      <c r="B129" s="4">
        <v>730</v>
      </c>
      <c r="C129">
        <v>66.7</v>
      </c>
      <c r="D129">
        <f>0.91*0.178*64</f>
        <v>10.366719999999999</v>
      </c>
      <c r="E129">
        <f>SQRT((0.07/0.91*D129)^2+(0.5*(F129+G129))^2)</f>
        <v>1.4796382630192224</v>
      </c>
      <c r="F129">
        <v>1.3178406579999999</v>
      </c>
      <c r="G129">
        <v>1.1748838239999999</v>
      </c>
      <c r="H129">
        <v>3.3</v>
      </c>
      <c r="I129">
        <v>3.3</v>
      </c>
      <c r="J129">
        <v>3.3</v>
      </c>
      <c r="K129">
        <v>0</v>
      </c>
      <c r="L129">
        <v>1</v>
      </c>
      <c r="M129">
        <f t="shared" si="19"/>
        <v>66.7</v>
      </c>
      <c r="N129">
        <f t="shared" si="16"/>
        <v>691.46022399999993</v>
      </c>
      <c r="O129">
        <f t="shared" si="12"/>
        <v>87.899971888600021</v>
      </c>
      <c r="P129">
        <f t="shared" si="13"/>
        <v>78.364751060800018</v>
      </c>
      <c r="AM129" s="79"/>
      <c r="AS129" s="78"/>
    </row>
    <row r="130" spans="1:298" s="53" customFormat="1">
      <c r="A130" s="54" t="s">
        <v>25</v>
      </c>
      <c r="B130" s="51">
        <v>876</v>
      </c>
      <c r="C130" s="52">
        <v>7.2261532129999999</v>
      </c>
      <c r="D130" s="52">
        <v>6.6013045909999999</v>
      </c>
      <c r="E130" s="53">
        <f>0.06*D130</f>
        <v>0.39607827545999996</v>
      </c>
      <c r="F130" s="53">
        <f>0.06*D130</f>
        <v>0.39607827545999996</v>
      </c>
      <c r="G130" s="53">
        <f>0.06*D130</f>
        <v>0.39607827545999996</v>
      </c>
      <c r="H130" s="52">
        <v>0.17264154600000001</v>
      </c>
      <c r="I130" s="52">
        <v>0.24063146899999999</v>
      </c>
      <c r="J130" s="52">
        <v>0.206636508</v>
      </c>
      <c r="K130" s="53">
        <v>36</v>
      </c>
      <c r="L130" s="53">
        <v>1</v>
      </c>
      <c r="M130" s="53">
        <f>C130</f>
        <v>7.2261532129999999</v>
      </c>
      <c r="N130" s="53">
        <f t="shared" si="16"/>
        <v>47.7020383802463</v>
      </c>
      <c r="O130">
        <f t="shared" si="12"/>
        <v>2.8621223028147753</v>
      </c>
      <c r="P130">
        <f t="shared" si="13"/>
        <v>2.8621223028147753</v>
      </c>
      <c r="R130" s="33">
        <f>N130+Qy!R162</f>
        <v>96.194353224363311</v>
      </c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79"/>
      <c r="AN130" s="33"/>
      <c r="AO130" s="33"/>
      <c r="AP130" s="33"/>
      <c r="AQ130" s="33"/>
      <c r="AR130" s="33"/>
      <c r="AS130" s="78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  <c r="FQ130" s="33"/>
      <c r="FR130" s="33"/>
      <c r="FS130" s="33"/>
      <c r="FT130" s="33"/>
      <c r="FU130" s="33"/>
      <c r="FV130" s="33"/>
      <c r="FW130" s="33"/>
      <c r="FX130" s="33"/>
      <c r="FY130" s="33"/>
      <c r="FZ130" s="33"/>
      <c r="GA130" s="33"/>
      <c r="GB130" s="33"/>
      <c r="GC130" s="33"/>
      <c r="GD130" s="33"/>
      <c r="GE130" s="33"/>
      <c r="GF130" s="33"/>
      <c r="GG130" s="33"/>
      <c r="GH130" s="33"/>
      <c r="GI130" s="33"/>
      <c r="GJ130" s="33"/>
      <c r="GK130" s="33"/>
      <c r="GL130" s="33"/>
      <c r="GM130" s="33"/>
      <c r="GN130" s="33"/>
      <c r="GO130" s="33"/>
      <c r="GP130" s="33"/>
      <c r="GQ130" s="33"/>
      <c r="GR130" s="33"/>
      <c r="GS130" s="33"/>
      <c r="GT130" s="33"/>
      <c r="GU130" s="33"/>
      <c r="GV130" s="33"/>
      <c r="GW130" s="33"/>
      <c r="GX130" s="33"/>
      <c r="GY130" s="33"/>
      <c r="GZ130" s="33"/>
      <c r="HA130" s="33"/>
      <c r="HB130" s="33"/>
      <c r="HC130" s="33"/>
      <c r="HD130" s="33"/>
      <c r="HE130" s="33"/>
      <c r="HF130" s="33"/>
      <c r="HG130" s="33"/>
      <c r="HH130" s="33"/>
      <c r="HI130" s="33"/>
      <c r="HJ130" s="33"/>
      <c r="HK130" s="33"/>
      <c r="HL130" s="33"/>
      <c r="HM130" s="33"/>
      <c r="HN130" s="33"/>
      <c r="HO130" s="33"/>
      <c r="HP130" s="33"/>
      <c r="HQ130" s="33"/>
      <c r="HR130" s="33"/>
      <c r="HS130" s="33"/>
      <c r="HT130" s="33"/>
      <c r="HU130" s="33"/>
      <c r="HV130" s="33"/>
      <c r="HW130" s="33"/>
      <c r="HX130" s="33"/>
      <c r="HY130" s="33"/>
      <c r="HZ130" s="33"/>
      <c r="IA130" s="33"/>
      <c r="IB130" s="33"/>
      <c r="IC130" s="33"/>
      <c r="ID130" s="33"/>
      <c r="IE130" s="33"/>
      <c r="IF130" s="33"/>
      <c r="IG130" s="33"/>
      <c r="IH130" s="33"/>
      <c r="II130" s="33"/>
      <c r="IJ130" s="33"/>
      <c r="IK130" s="33"/>
      <c r="IL130" s="33"/>
      <c r="IM130" s="33"/>
      <c r="IN130" s="33"/>
      <c r="IO130" s="33"/>
      <c r="IP130" s="33"/>
      <c r="IQ130" s="33"/>
      <c r="IR130" s="33"/>
      <c r="IS130" s="33"/>
      <c r="IT130" s="33"/>
      <c r="IU130" s="33"/>
      <c r="IV130" s="33"/>
      <c r="IW130" s="33"/>
      <c r="IX130" s="33"/>
      <c r="IY130" s="33"/>
      <c r="IZ130" s="33"/>
      <c r="JA130" s="33"/>
      <c r="JB130" s="33"/>
      <c r="JC130" s="33"/>
      <c r="JD130" s="33"/>
      <c r="JE130" s="33"/>
      <c r="JF130" s="33"/>
      <c r="JG130" s="33"/>
      <c r="JH130" s="33"/>
      <c r="JI130" s="33"/>
      <c r="JJ130" s="33"/>
      <c r="JK130" s="33"/>
      <c r="JL130" s="33"/>
      <c r="JM130" s="33"/>
      <c r="JN130" s="33"/>
      <c r="JO130" s="33"/>
      <c r="JP130" s="33"/>
      <c r="JQ130" s="33"/>
      <c r="JR130" s="33"/>
      <c r="JS130" s="33"/>
      <c r="JT130" s="33"/>
      <c r="JU130" s="33"/>
      <c r="JV130" s="33"/>
      <c r="JW130" s="33"/>
      <c r="JX130" s="33"/>
      <c r="JY130" s="33"/>
      <c r="JZ130" s="33"/>
      <c r="KA130" s="33"/>
      <c r="KB130" s="33"/>
      <c r="KC130" s="33"/>
      <c r="KD130" s="33"/>
      <c r="KE130" s="33"/>
      <c r="KF130" s="33"/>
      <c r="KG130" s="33"/>
      <c r="KH130" s="33"/>
      <c r="KI130" s="33"/>
      <c r="KJ130" s="33"/>
      <c r="KK130" s="33"/>
      <c r="KL130" s="33"/>
    </row>
    <row r="131" spans="1:298" s="53" customFormat="1">
      <c r="A131" s="66" t="s">
        <v>65</v>
      </c>
      <c r="B131" s="51">
        <v>876</v>
      </c>
      <c r="C131" s="52">
        <v>9.7292153250000002</v>
      </c>
      <c r="D131" s="52">
        <v>7.3596459980000004</v>
      </c>
      <c r="E131" s="53">
        <f t="shared" ref="E131:E147" si="20">0.06*D131</f>
        <v>0.44157875988</v>
      </c>
      <c r="F131" s="53">
        <f t="shared" ref="F131:F147" si="21">0.06*D131</f>
        <v>0.44157875988</v>
      </c>
      <c r="G131" s="53">
        <f t="shared" ref="G131:G147" si="22">0.06*D131</f>
        <v>0.44157875988</v>
      </c>
      <c r="H131" s="52">
        <v>0.234007083</v>
      </c>
      <c r="I131" s="52">
        <v>0.22948606999999999</v>
      </c>
      <c r="J131" s="52">
        <v>0.23174657700000001</v>
      </c>
      <c r="K131" s="53">
        <v>36</v>
      </c>
      <c r="L131" s="53">
        <v>1</v>
      </c>
      <c r="M131" s="53">
        <f t="shared" ref="M131:M191" si="23">C131</f>
        <v>9.7292153250000002</v>
      </c>
      <c r="N131" s="53">
        <f t="shared" si="16"/>
        <v>71.603580630316529</v>
      </c>
      <c r="O131">
        <f t="shared" ref="O131:O194" si="24">C131*(D131+F131)*L131-N131</f>
        <v>4.2962148378189795</v>
      </c>
      <c r="P131">
        <f t="shared" ref="P131:P194" si="25">N131-C131*(D131-G131)*L131</f>
        <v>4.2962148378189937</v>
      </c>
      <c r="R131" s="33">
        <f>N131+Qy!R163</f>
        <v>133.39874885954413</v>
      </c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79"/>
      <c r="AN131" s="33"/>
      <c r="AO131" s="33"/>
      <c r="AP131" s="33"/>
      <c r="AQ131" s="33"/>
      <c r="AR131" s="33"/>
      <c r="AS131" s="78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  <c r="FP131" s="33"/>
      <c r="FQ131" s="33"/>
      <c r="FR131" s="33"/>
      <c r="FS131" s="33"/>
      <c r="FT131" s="33"/>
      <c r="FU131" s="33"/>
      <c r="FV131" s="33"/>
      <c r="FW131" s="33"/>
      <c r="FX131" s="33"/>
      <c r="FY131" s="33"/>
      <c r="FZ131" s="33"/>
      <c r="GA131" s="33"/>
      <c r="GB131" s="33"/>
      <c r="GC131" s="33"/>
      <c r="GD131" s="33"/>
      <c r="GE131" s="33"/>
      <c r="GF131" s="33"/>
      <c r="GG131" s="33"/>
      <c r="GH131" s="33"/>
      <c r="GI131" s="33"/>
      <c r="GJ131" s="33"/>
      <c r="GK131" s="33"/>
      <c r="GL131" s="33"/>
      <c r="GM131" s="33"/>
      <c r="GN131" s="33"/>
      <c r="GO131" s="33"/>
      <c r="GP131" s="33"/>
      <c r="GQ131" s="33"/>
      <c r="GR131" s="33"/>
      <c r="GS131" s="33"/>
      <c r="GT131" s="33"/>
      <c r="GU131" s="33"/>
      <c r="GV131" s="33"/>
      <c r="GW131" s="33"/>
      <c r="GX131" s="33"/>
      <c r="GY131" s="33"/>
      <c r="GZ131" s="33"/>
      <c r="HA131" s="33"/>
      <c r="HB131" s="33"/>
      <c r="HC131" s="33"/>
      <c r="HD131" s="33"/>
      <c r="HE131" s="33"/>
      <c r="HF131" s="33"/>
      <c r="HG131" s="33"/>
      <c r="HH131" s="33"/>
      <c r="HI131" s="33"/>
      <c r="HJ131" s="33"/>
      <c r="HK131" s="33"/>
      <c r="HL131" s="33"/>
      <c r="HM131" s="33"/>
      <c r="HN131" s="33"/>
      <c r="HO131" s="33"/>
      <c r="HP131" s="33"/>
      <c r="HQ131" s="33"/>
      <c r="HR131" s="33"/>
      <c r="HS131" s="33"/>
      <c r="HT131" s="33"/>
      <c r="HU131" s="33"/>
      <c r="HV131" s="33"/>
      <c r="HW131" s="33"/>
      <c r="HX131" s="33"/>
      <c r="HY131" s="33"/>
      <c r="HZ131" s="33"/>
      <c r="IA131" s="33"/>
      <c r="IB131" s="33"/>
      <c r="IC131" s="33"/>
      <c r="ID131" s="33"/>
      <c r="IE131" s="33"/>
      <c r="IF131" s="33"/>
      <c r="IG131" s="33"/>
      <c r="IH131" s="33"/>
      <c r="II131" s="33"/>
      <c r="IJ131" s="33"/>
      <c r="IK131" s="33"/>
      <c r="IL131" s="33"/>
      <c r="IM131" s="33"/>
      <c r="IN131" s="33"/>
      <c r="IO131" s="33"/>
      <c r="IP131" s="33"/>
      <c r="IQ131" s="33"/>
      <c r="IR131" s="33"/>
      <c r="IS131" s="33"/>
      <c r="IT131" s="33"/>
      <c r="IU131" s="33"/>
      <c r="IV131" s="33"/>
      <c r="IW131" s="33"/>
      <c r="IX131" s="33"/>
      <c r="IY131" s="33"/>
      <c r="IZ131" s="33"/>
      <c r="JA131" s="33"/>
      <c r="JB131" s="33"/>
      <c r="JC131" s="33"/>
      <c r="JD131" s="33"/>
      <c r="JE131" s="33"/>
      <c r="JF131" s="33"/>
      <c r="JG131" s="33"/>
      <c r="JH131" s="33"/>
      <c r="JI131" s="33"/>
      <c r="JJ131" s="33"/>
      <c r="JK131" s="33"/>
      <c r="JL131" s="33"/>
      <c r="JM131" s="33"/>
      <c r="JN131" s="33"/>
      <c r="JO131" s="33"/>
      <c r="JP131" s="33"/>
      <c r="JQ131" s="33"/>
      <c r="JR131" s="33"/>
      <c r="JS131" s="33"/>
      <c r="JT131" s="33"/>
      <c r="JU131" s="33"/>
      <c r="JV131" s="33"/>
      <c r="JW131" s="33"/>
      <c r="JX131" s="33"/>
      <c r="JY131" s="33"/>
      <c r="JZ131" s="33"/>
      <c r="KA131" s="33"/>
      <c r="KB131" s="33"/>
      <c r="KC131" s="33"/>
      <c r="KD131" s="33"/>
      <c r="KE131" s="33"/>
      <c r="KF131" s="33"/>
      <c r="KG131" s="33"/>
      <c r="KH131" s="33"/>
      <c r="KI131" s="33"/>
      <c r="KJ131" s="33"/>
      <c r="KK131" s="33"/>
      <c r="KL131" s="33"/>
    </row>
    <row r="132" spans="1:298" s="53" customFormat="1">
      <c r="A132" s="54"/>
      <c r="B132" s="51">
        <v>876</v>
      </c>
      <c r="C132" s="52">
        <v>12.292660720000001</v>
      </c>
      <c r="D132" s="52">
        <v>7.9626807719999997</v>
      </c>
      <c r="E132" s="53">
        <f t="shared" si="20"/>
        <v>0.47776084631999999</v>
      </c>
      <c r="F132" s="53">
        <f t="shared" si="21"/>
        <v>0.47776084631999999</v>
      </c>
      <c r="G132" s="53">
        <f t="shared" si="22"/>
        <v>0.47776084631999999</v>
      </c>
      <c r="H132" s="52">
        <v>0.273496925</v>
      </c>
      <c r="I132" s="52">
        <v>0.32144856900000002</v>
      </c>
      <c r="J132" s="52">
        <v>0.29747274699999998</v>
      </c>
      <c r="K132" s="53">
        <v>36</v>
      </c>
      <c r="L132" s="53">
        <v>1</v>
      </c>
      <c r="M132" s="53">
        <f t="shared" si="23"/>
        <v>12.292660720000001</v>
      </c>
      <c r="N132" s="53">
        <f t="shared" si="16"/>
        <v>97.882533151863683</v>
      </c>
      <c r="O132">
        <f t="shared" si="24"/>
        <v>5.8729519891118116</v>
      </c>
      <c r="P132">
        <f t="shared" si="25"/>
        <v>5.8729519891118258</v>
      </c>
      <c r="R132" s="33">
        <f>N132+Qy!R164</f>
        <v>171.76556150549311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79"/>
      <c r="AN132" s="33"/>
      <c r="AO132" s="33"/>
      <c r="AP132" s="33"/>
      <c r="AQ132" s="33"/>
      <c r="AR132" s="33"/>
      <c r="AS132" s="78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  <c r="FQ132" s="33"/>
      <c r="FR132" s="33"/>
      <c r="FS132" s="33"/>
      <c r="FT132" s="33"/>
      <c r="FU132" s="33"/>
      <c r="FV132" s="33"/>
      <c r="FW132" s="33"/>
      <c r="FX132" s="33"/>
      <c r="FY132" s="33"/>
      <c r="FZ132" s="33"/>
      <c r="GA132" s="33"/>
      <c r="GB132" s="33"/>
      <c r="GC132" s="33"/>
      <c r="GD132" s="33"/>
      <c r="GE132" s="33"/>
      <c r="GF132" s="33"/>
      <c r="GG132" s="33"/>
      <c r="GH132" s="33"/>
      <c r="GI132" s="33"/>
      <c r="GJ132" s="33"/>
      <c r="GK132" s="33"/>
      <c r="GL132" s="33"/>
      <c r="GM132" s="33"/>
      <c r="GN132" s="33"/>
      <c r="GO132" s="33"/>
      <c r="GP132" s="33"/>
      <c r="GQ132" s="33"/>
      <c r="GR132" s="33"/>
      <c r="GS132" s="33"/>
      <c r="GT132" s="33"/>
      <c r="GU132" s="33"/>
      <c r="GV132" s="33"/>
      <c r="GW132" s="33"/>
      <c r="GX132" s="33"/>
      <c r="GY132" s="33"/>
      <c r="GZ132" s="33"/>
      <c r="HA132" s="33"/>
      <c r="HB132" s="33"/>
      <c r="HC132" s="33"/>
      <c r="HD132" s="33"/>
      <c r="HE132" s="33"/>
      <c r="HF132" s="33"/>
      <c r="HG132" s="33"/>
      <c r="HH132" s="33"/>
      <c r="HI132" s="33"/>
      <c r="HJ132" s="33"/>
      <c r="HK132" s="33"/>
      <c r="HL132" s="33"/>
      <c r="HM132" s="33"/>
      <c r="HN132" s="33"/>
      <c r="HO132" s="33"/>
      <c r="HP132" s="33"/>
      <c r="HQ132" s="33"/>
      <c r="HR132" s="33"/>
      <c r="HS132" s="33"/>
      <c r="HT132" s="33"/>
      <c r="HU132" s="33"/>
      <c r="HV132" s="33"/>
      <c r="HW132" s="33"/>
      <c r="HX132" s="33"/>
      <c r="HY132" s="33"/>
      <c r="HZ132" s="33"/>
      <c r="IA132" s="33"/>
      <c r="IB132" s="33"/>
      <c r="IC132" s="33"/>
      <c r="ID132" s="33"/>
      <c r="IE132" s="33"/>
      <c r="IF132" s="33"/>
      <c r="IG132" s="33"/>
      <c r="IH132" s="33"/>
      <c r="II132" s="33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  <c r="IW132" s="33"/>
      <c r="IX132" s="33"/>
      <c r="IY132" s="33"/>
      <c r="IZ132" s="33"/>
      <c r="JA132" s="33"/>
      <c r="JB132" s="33"/>
      <c r="JC132" s="33"/>
      <c r="JD132" s="33"/>
      <c r="JE132" s="33"/>
      <c r="JF132" s="33"/>
      <c r="JG132" s="33"/>
      <c r="JH132" s="33"/>
      <c r="JI132" s="33"/>
      <c r="JJ132" s="33"/>
      <c r="JK132" s="33"/>
      <c r="JL132" s="33"/>
      <c r="JM132" s="33"/>
      <c r="JN132" s="33"/>
      <c r="JO132" s="33"/>
      <c r="JP132" s="33"/>
      <c r="JQ132" s="33"/>
      <c r="JR132" s="33"/>
      <c r="JS132" s="33"/>
      <c r="JT132" s="33"/>
      <c r="JU132" s="33"/>
      <c r="JV132" s="33"/>
      <c r="JW132" s="33"/>
      <c r="JX132" s="33"/>
      <c r="JY132" s="33"/>
      <c r="JZ132" s="33"/>
      <c r="KA132" s="33"/>
      <c r="KB132" s="33"/>
      <c r="KC132" s="33"/>
      <c r="KD132" s="33"/>
      <c r="KE132" s="33"/>
      <c r="KF132" s="33"/>
      <c r="KG132" s="33"/>
      <c r="KH132" s="33"/>
      <c r="KI132" s="33"/>
      <c r="KJ132" s="33"/>
      <c r="KK132" s="33"/>
      <c r="KL132" s="33"/>
    </row>
    <row r="133" spans="1:298" s="53" customFormat="1">
      <c r="A133" s="54"/>
      <c r="B133" s="51">
        <v>876</v>
      </c>
      <c r="C133" s="52">
        <v>14.604795169999999</v>
      </c>
      <c r="D133" s="52">
        <v>8.3933106039999998</v>
      </c>
      <c r="E133" s="53">
        <f t="shared" si="20"/>
        <v>0.50359863624000001</v>
      </c>
      <c r="F133" s="53">
        <f t="shared" si="21"/>
        <v>0.50359863624000001</v>
      </c>
      <c r="G133" s="53">
        <f t="shared" si="22"/>
        <v>0.50359863624000001</v>
      </c>
      <c r="H133" s="52">
        <v>0.29859004500000003</v>
      </c>
      <c r="I133" s="52">
        <v>0.30426218999999999</v>
      </c>
      <c r="J133" s="52">
        <v>0.30142611800000002</v>
      </c>
      <c r="K133" s="53">
        <v>36</v>
      </c>
      <c r="L133" s="53">
        <v>1</v>
      </c>
      <c r="M133" s="53">
        <f t="shared" si="23"/>
        <v>14.604795169999999</v>
      </c>
      <c r="N133" s="53">
        <f t="shared" si="16"/>
        <v>122.58258216960897</v>
      </c>
      <c r="O133">
        <f t="shared" si="24"/>
        <v>7.3549549301765467</v>
      </c>
      <c r="P133">
        <f t="shared" si="25"/>
        <v>7.3549549301765325</v>
      </c>
      <c r="R133" s="33">
        <f>N133+Qy!R165</f>
        <v>207.59192009482879</v>
      </c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79"/>
      <c r="AN133" s="33"/>
      <c r="AO133" s="33"/>
      <c r="AP133" s="33"/>
      <c r="AQ133" s="33"/>
      <c r="AR133" s="33"/>
      <c r="AS133" s="78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  <c r="FQ133" s="33"/>
      <c r="FR133" s="33"/>
      <c r="FS133" s="33"/>
      <c r="FT133" s="33"/>
      <c r="FU133" s="33"/>
      <c r="FV133" s="33"/>
      <c r="FW133" s="33"/>
      <c r="FX133" s="33"/>
      <c r="FY133" s="33"/>
      <c r="FZ133" s="33"/>
      <c r="GA133" s="33"/>
      <c r="GB133" s="33"/>
      <c r="GC133" s="33"/>
      <c r="GD133" s="33"/>
      <c r="GE133" s="33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33"/>
      <c r="GR133" s="33"/>
      <c r="GS133" s="33"/>
      <c r="GT133" s="33"/>
      <c r="GU133" s="33"/>
      <c r="GV133" s="33"/>
      <c r="GW133" s="33"/>
      <c r="GX133" s="33"/>
      <c r="GY133" s="33"/>
      <c r="GZ133" s="33"/>
      <c r="HA133" s="33"/>
      <c r="HB133" s="33"/>
      <c r="HC133" s="33"/>
      <c r="HD133" s="33"/>
      <c r="HE133" s="33"/>
      <c r="HF133" s="33"/>
      <c r="HG133" s="33"/>
      <c r="HH133" s="33"/>
      <c r="HI133" s="33"/>
      <c r="HJ133" s="33"/>
      <c r="HK133" s="33"/>
      <c r="HL133" s="33"/>
      <c r="HM133" s="33"/>
      <c r="HN133" s="33"/>
      <c r="HO133" s="33"/>
      <c r="HP133" s="33"/>
      <c r="HQ133" s="33"/>
      <c r="HR133" s="33"/>
      <c r="HS133" s="33"/>
      <c r="HT133" s="33"/>
      <c r="HU133" s="33"/>
      <c r="HV133" s="33"/>
      <c r="HW133" s="33"/>
      <c r="HX133" s="33"/>
      <c r="HY133" s="33"/>
      <c r="HZ133" s="33"/>
      <c r="IA133" s="33"/>
      <c r="IB133" s="33"/>
      <c r="IC133" s="33"/>
      <c r="ID133" s="33"/>
      <c r="IE133" s="33"/>
      <c r="IF133" s="33"/>
      <c r="IG133" s="33"/>
      <c r="IH133" s="33"/>
      <c r="II133" s="33"/>
      <c r="IJ133" s="33"/>
      <c r="IK133" s="33"/>
      <c r="IL133" s="33"/>
      <c r="IM133" s="33"/>
      <c r="IN133" s="33"/>
      <c r="IO133" s="33"/>
      <c r="IP133" s="33"/>
      <c r="IQ133" s="33"/>
      <c r="IR133" s="33"/>
      <c r="IS133" s="33"/>
      <c r="IT133" s="33"/>
      <c r="IU133" s="33"/>
      <c r="IV133" s="33"/>
      <c r="IW133" s="33"/>
      <c r="IX133" s="33"/>
      <c r="IY133" s="33"/>
      <c r="IZ133" s="33"/>
      <c r="JA133" s="33"/>
      <c r="JB133" s="33"/>
      <c r="JC133" s="33"/>
      <c r="JD133" s="33"/>
      <c r="JE133" s="33"/>
      <c r="JF133" s="33"/>
      <c r="JG133" s="33"/>
      <c r="JH133" s="33"/>
      <c r="JI133" s="33"/>
      <c r="JJ133" s="33"/>
      <c r="JK133" s="33"/>
      <c r="JL133" s="33"/>
      <c r="JM133" s="33"/>
      <c r="JN133" s="33"/>
      <c r="JO133" s="33"/>
      <c r="JP133" s="33"/>
      <c r="JQ133" s="33"/>
      <c r="JR133" s="33"/>
      <c r="JS133" s="33"/>
      <c r="JT133" s="33"/>
      <c r="JU133" s="33"/>
      <c r="JV133" s="33"/>
      <c r="JW133" s="33"/>
      <c r="JX133" s="33"/>
      <c r="JY133" s="33"/>
      <c r="JZ133" s="33"/>
      <c r="KA133" s="33"/>
      <c r="KB133" s="33"/>
      <c r="KC133" s="33"/>
      <c r="KD133" s="33"/>
      <c r="KE133" s="33"/>
      <c r="KF133" s="33"/>
      <c r="KG133" s="33"/>
      <c r="KH133" s="33"/>
      <c r="KI133" s="33"/>
      <c r="KJ133" s="33"/>
      <c r="KK133" s="33"/>
      <c r="KL133" s="33"/>
    </row>
    <row r="134" spans="1:298" s="53" customFormat="1">
      <c r="A134" s="54"/>
      <c r="B134" s="51">
        <v>876</v>
      </c>
      <c r="C134" s="52">
        <v>17.229005870000002</v>
      </c>
      <c r="D134" s="52">
        <v>8.6768595069999996</v>
      </c>
      <c r="E134" s="53">
        <f t="shared" si="20"/>
        <v>0.52061157041999995</v>
      </c>
      <c r="F134" s="53">
        <f t="shared" si="21"/>
        <v>0.52061157041999995</v>
      </c>
      <c r="G134" s="53">
        <f t="shared" si="22"/>
        <v>0.52061157041999995</v>
      </c>
      <c r="H134" s="52">
        <v>0.50352016600000005</v>
      </c>
      <c r="I134" s="52">
        <v>0.34483102300000001</v>
      </c>
      <c r="J134" s="52">
        <v>0.42417559500000002</v>
      </c>
      <c r="K134" s="53">
        <v>36</v>
      </c>
      <c r="L134" s="53">
        <v>1</v>
      </c>
      <c r="M134" s="53">
        <f t="shared" si="23"/>
        <v>17.229005870000002</v>
      </c>
      <c r="N134" s="53">
        <f t="shared" si="16"/>
        <v>149.49366337926833</v>
      </c>
      <c r="O134">
        <f t="shared" si="24"/>
        <v>8.9696198027560854</v>
      </c>
      <c r="P134">
        <f t="shared" si="25"/>
        <v>8.9696198027561138</v>
      </c>
      <c r="R134" s="33">
        <f>N134+Qy!R166</f>
        <v>243.789889219119</v>
      </c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79"/>
      <c r="AN134" s="33"/>
      <c r="AO134" s="33"/>
      <c r="AP134" s="33"/>
      <c r="AQ134" s="33"/>
      <c r="AR134" s="33"/>
      <c r="AS134" s="78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  <c r="FP134" s="33"/>
      <c r="FQ134" s="33"/>
      <c r="FR134" s="33"/>
      <c r="FS134" s="33"/>
      <c r="FT134" s="33"/>
      <c r="FU134" s="33"/>
      <c r="FV134" s="33"/>
      <c r="FW134" s="33"/>
      <c r="FX134" s="33"/>
      <c r="FY134" s="33"/>
      <c r="FZ134" s="33"/>
      <c r="GA134" s="33"/>
      <c r="GB134" s="33"/>
      <c r="GC134" s="33"/>
      <c r="GD134" s="33"/>
      <c r="GE134" s="33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33"/>
      <c r="GR134" s="33"/>
      <c r="GS134" s="33"/>
      <c r="GT134" s="33"/>
      <c r="GU134" s="33"/>
      <c r="GV134" s="33"/>
      <c r="GW134" s="33"/>
      <c r="GX134" s="33"/>
      <c r="GY134" s="33"/>
      <c r="GZ134" s="33"/>
      <c r="HA134" s="33"/>
      <c r="HB134" s="33"/>
      <c r="HC134" s="33"/>
      <c r="HD134" s="33"/>
      <c r="HE134" s="33"/>
      <c r="HF134" s="33"/>
      <c r="HG134" s="33"/>
      <c r="HH134" s="33"/>
      <c r="HI134" s="33"/>
      <c r="HJ134" s="33"/>
      <c r="HK134" s="33"/>
      <c r="HL134" s="33"/>
      <c r="HM134" s="33"/>
      <c r="HN134" s="33"/>
      <c r="HO134" s="33"/>
      <c r="HP134" s="33"/>
      <c r="HQ134" s="33"/>
      <c r="HR134" s="33"/>
      <c r="HS134" s="33"/>
      <c r="HT134" s="33"/>
      <c r="HU134" s="33"/>
      <c r="HV134" s="33"/>
      <c r="HW134" s="33"/>
      <c r="HX134" s="33"/>
      <c r="HY134" s="33"/>
      <c r="HZ134" s="33"/>
      <c r="IA134" s="33"/>
      <c r="IB134" s="33"/>
      <c r="IC134" s="33"/>
      <c r="ID134" s="33"/>
      <c r="IE134" s="33"/>
      <c r="IF134" s="33"/>
      <c r="IG134" s="33"/>
      <c r="IH134" s="33"/>
      <c r="II134" s="33"/>
      <c r="IJ134" s="33"/>
      <c r="IK134" s="33"/>
      <c r="IL134" s="33"/>
      <c r="IM134" s="33"/>
      <c r="IN134" s="33"/>
      <c r="IO134" s="33"/>
      <c r="IP134" s="33"/>
      <c r="IQ134" s="33"/>
      <c r="IR134" s="33"/>
      <c r="IS134" s="33"/>
      <c r="IT134" s="33"/>
      <c r="IU134" s="33"/>
      <c r="IV134" s="33"/>
      <c r="IW134" s="33"/>
      <c r="IX134" s="33"/>
      <c r="IY134" s="33"/>
      <c r="IZ134" s="33"/>
      <c r="JA134" s="33"/>
      <c r="JB134" s="33"/>
      <c r="JC134" s="33"/>
      <c r="JD134" s="33"/>
      <c r="JE134" s="33"/>
      <c r="JF134" s="33"/>
      <c r="JG134" s="33"/>
      <c r="JH134" s="33"/>
      <c r="JI134" s="33"/>
      <c r="JJ134" s="33"/>
      <c r="JK134" s="33"/>
      <c r="JL134" s="33"/>
      <c r="JM134" s="33"/>
      <c r="JN134" s="33"/>
      <c r="JO134" s="33"/>
      <c r="JP134" s="33"/>
      <c r="JQ134" s="33"/>
      <c r="JR134" s="33"/>
      <c r="JS134" s="33"/>
      <c r="JT134" s="33"/>
      <c r="JU134" s="33"/>
      <c r="JV134" s="33"/>
      <c r="JW134" s="33"/>
      <c r="JX134" s="33"/>
      <c r="JY134" s="33"/>
      <c r="JZ134" s="33"/>
      <c r="KA134" s="33"/>
      <c r="KB134" s="33"/>
      <c r="KC134" s="33"/>
      <c r="KD134" s="33"/>
      <c r="KE134" s="33"/>
      <c r="KF134" s="33"/>
      <c r="KG134" s="33"/>
      <c r="KH134" s="33"/>
      <c r="KI134" s="33"/>
      <c r="KJ134" s="33"/>
      <c r="KK134" s="33"/>
      <c r="KL134" s="33"/>
    </row>
    <row r="135" spans="1:298" s="53" customFormat="1">
      <c r="A135" s="54"/>
      <c r="B135" s="51">
        <v>876</v>
      </c>
      <c r="C135" s="52">
        <v>19.614904599999999</v>
      </c>
      <c r="D135" s="52">
        <v>8.9888002999999994</v>
      </c>
      <c r="E135" s="53">
        <f t="shared" si="20"/>
        <v>0.53932801799999996</v>
      </c>
      <c r="F135" s="53">
        <f t="shared" si="21"/>
        <v>0.53932801799999996</v>
      </c>
      <c r="G135" s="53">
        <f t="shared" si="22"/>
        <v>0.53932801799999996</v>
      </c>
      <c r="H135" s="52">
        <v>0.16785602499999999</v>
      </c>
      <c r="I135" s="52">
        <v>0.29391602999999999</v>
      </c>
      <c r="J135" s="52">
        <v>0.23088602799999999</v>
      </c>
      <c r="K135" s="53">
        <v>36</v>
      </c>
      <c r="L135" s="53">
        <v>1</v>
      </c>
      <c r="M135" s="53">
        <f t="shared" si="23"/>
        <v>19.614904599999999</v>
      </c>
      <c r="N135" s="53">
        <f t="shared" si="16"/>
        <v>176.31446035295136</v>
      </c>
      <c r="O135">
        <f t="shared" si="24"/>
        <v>10.578867621177096</v>
      </c>
      <c r="P135">
        <f t="shared" si="25"/>
        <v>10.578867621177096</v>
      </c>
      <c r="R135" s="33">
        <f>N135+Qy!R167</f>
        <v>281.53379983137927</v>
      </c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79"/>
      <c r="AN135" s="33"/>
      <c r="AO135" s="33"/>
      <c r="AP135" s="33"/>
      <c r="AQ135" s="33"/>
      <c r="AR135" s="33"/>
      <c r="AS135" s="78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  <c r="FP135" s="33"/>
      <c r="FQ135" s="33"/>
      <c r="FR135" s="33"/>
      <c r="FS135" s="33"/>
      <c r="FT135" s="33"/>
      <c r="FU135" s="33"/>
      <c r="FV135" s="33"/>
      <c r="FW135" s="33"/>
      <c r="FX135" s="33"/>
      <c r="FY135" s="33"/>
      <c r="FZ135" s="33"/>
      <c r="GA135" s="33"/>
      <c r="GB135" s="33"/>
      <c r="GC135" s="33"/>
      <c r="GD135" s="33"/>
      <c r="GE135" s="33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33"/>
      <c r="GR135" s="33"/>
      <c r="GS135" s="33"/>
      <c r="GT135" s="33"/>
      <c r="GU135" s="33"/>
      <c r="GV135" s="33"/>
      <c r="GW135" s="33"/>
      <c r="GX135" s="33"/>
      <c r="GY135" s="33"/>
      <c r="GZ135" s="33"/>
      <c r="HA135" s="33"/>
      <c r="HB135" s="33"/>
      <c r="HC135" s="33"/>
      <c r="HD135" s="33"/>
      <c r="HE135" s="33"/>
      <c r="HF135" s="33"/>
      <c r="HG135" s="33"/>
      <c r="HH135" s="33"/>
      <c r="HI135" s="33"/>
      <c r="HJ135" s="33"/>
      <c r="HK135" s="33"/>
      <c r="HL135" s="33"/>
      <c r="HM135" s="33"/>
      <c r="HN135" s="33"/>
      <c r="HO135" s="33"/>
      <c r="HP135" s="33"/>
      <c r="HQ135" s="33"/>
      <c r="HR135" s="33"/>
      <c r="HS135" s="33"/>
      <c r="HT135" s="33"/>
      <c r="HU135" s="33"/>
      <c r="HV135" s="33"/>
      <c r="HW135" s="33"/>
      <c r="HX135" s="33"/>
      <c r="HY135" s="33"/>
      <c r="HZ135" s="33"/>
      <c r="IA135" s="33"/>
      <c r="IB135" s="33"/>
      <c r="IC135" s="33"/>
      <c r="ID135" s="33"/>
      <c r="IE135" s="33"/>
      <c r="IF135" s="33"/>
      <c r="IG135" s="33"/>
      <c r="IH135" s="33"/>
      <c r="II135" s="33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  <c r="IW135" s="33"/>
      <c r="IX135" s="33"/>
      <c r="IY135" s="33"/>
      <c r="IZ135" s="33"/>
      <c r="JA135" s="33"/>
      <c r="JB135" s="33"/>
      <c r="JC135" s="33"/>
      <c r="JD135" s="33"/>
      <c r="JE135" s="33"/>
      <c r="JF135" s="33"/>
      <c r="JG135" s="33"/>
      <c r="JH135" s="33"/>
      <c r="JI135" s="33"/>
      <c r="JJ135" s="33"/>
      <c r="JK135" s="33"/>
      <c r="JL135" s="33"/>
      <c r="JM135" s="33"/>
      <c r="JN135" s="33"/>
      <c r="JO135" s="33"/>
      <c r="JP135" s="33"/>
      <c r="JQ135" s="33"/>
      <c r="JR135" s="33"/>
      <c r="JS135" s="33"/>
      <c r="JT135" s="33"/>
      <c r="JU135" s="33"/>
      <c r="JV135" s="33"/>
      <c r="JW135" s="33"/>
      <c r="JX135" s="33"/>
      <c r="JY135" s="33"/>
      <c r="JZ135" s="33"/>
      <c r="KA135" s="33"/>
      <c r="KB135" s="33"/>
      <c r="KC135" s="33"/>
      <c r="KD135" s="33"/>
      <c r="KE135" s="33"/>
      <c r="KF135" s="33"/>
      <c r="KG135" s="33"/>
      <c r="KH135" s="33"/>
      <c r="KI135" s="33"/>
      <c r="KJ135" s="33"/>
      <c r="KK135" s="33"/>
      <c r="KL135" s="33"/>
    </row>
    <row r="136" spans="1:298" s="53" customFormat="1">
      <c r="A136" s="54"/>
      <c r="B136" s="51">
        <v>876</v>
      </c>
      <c r="C136" s="52">
        <v>22.116258080000001</v>
      </c>
      <c r="D136" s="52">
        <v>9.1387317990000003</v>
      </c>
      <c r="E136" s="53">
        <f t="shared" si="20"/>
        <v>0.54832390793999997</v>
      </c>
      <c r="F136" s="53">
        <f t="shared" si="21"/>
        <v>0.54832390793999997</v>
      </c>
      <c r="G136" s="53">
        <f t="shared" si="22"/>
        <v>0.54832390793999997</v>
      </c>
      <c r="H136" s="52">
        <v>0.37942098400000002</v>
      </c>
      <c r="I136" s="52">
        <v>0.324932677</v>
      </c>
      <c r="J136" s="52">
        <v>0.35217683100000002</v>
      </c>
      <c r="K136" s="53">
        <v>36</v>
      </c>
      <c r="L136" s="53">
        <v>1</v>
      </c>
      <c r="M136" s="53">
        <f t="shared" si="23"/>
        <v>22.116258080000001</v>
      </c>
      <c r="N136" s="53">
        <f t="shared" si="16"/>
        <v>202.11455099058671</v>
      </c>
      <c r="O136">
        <f t="shared" si="24"/>
        <v>12.126873059435212</v>
      </c>
      <c r="P136">
        <f t="shared" si="25"/>
        <v>12.126873059435212</v>
      </c>
      <c r="R136" s="33">
        <f>N136+Qy!R168</f>
        <v>317.39386373615366</v>
      </c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79"/>
      <c r="AN136" s="33"/>
      <c r="AO136" s="33"/>
      <c r="AP136" s="33"/>
      <c r="AQ136" s="33"/>
      <c r="AR136" s="33"/>
      <c r="AS136" s="78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  <c r="FQ136" s="33"/>
      <c r="FR136" s="33"/>
      <c r="FS136" s="33"/>
      <c r="FT136" s="33"/>
      <c r="FU136" s="33"/>
      <c r="FV136" s="33"/>
      <c r="FW136" s="33"/>
      <c r="FX136" s="33"/>
      <c r="FY136" s="33"/>
      <c r="FZ136" s="33"/>
      <c r="GA136" s="33"/>
      <c r="GB136" s="33"/>
      <c r="GC136" s="33"/>
      <c r="GD136" s="33"/>
      <c r="GE136" s="33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33"/>
      <c r="GR136" s="33"/>
      <c r="GS136" s="33"/>
      <c r="GT136" s="33"/>
      <c r="GU136" s="33"/>
      <c r="GV136" s="33"/>
      <c r="GW136" s="33"/>
      <c r="GX136" s="33"/>
      <c r="GY136" s="33"/>
      <c r="GZ136" s="33"/>
      <c r="HA136" s="33"/>
      <c r="HB136" s="33"/>
      <c r="HC136" s="33"/>
      <c r="HD136" s="33"/>
      <c r="HE136" s="33"/>
      <c r="HF136" s="33"/>
      <c r="HG136" s="33"/>
      <c r="HH136" s="33"/>
      <c r="HI136" s="33"/>
      <c r="HJ136" s="33"/>
      <c r="HK136" s="33"/>
      <c r="HL136" s="33"/>
      <c r="HM136" s="33"/>
      <c r="HN136" s="33"/>
      <c r="HO136" s="33"/>
      <c r="HP136" s="33"/>
      <c r="HQ136" s="33"/>
      <c r="HR136" s="33"/>
      <c r="HS136" s="33"/>
      <c r="HT136" s="33"/>
      <c r="HU136" s="33"/>
      <c r="HV136" s="33"/>
      <c r="HW136" s="33"/>
      <c r="HX136" s="33"/>
      <c r="HY136" s="33"/>
      <c r="HZ136" s="33"/>
      <c r="IA136" s="33"/>
      <c r="IB136" s="33"/>
      <c r="IC136" s="33"/>
      <c r="ID136" s="33"/>
      <c r="IE136" s="33"/>
      <c r="IF136" s="33"/>
      <c r="IG136" s="33"/>
      <c r="IH136" s="33"/>
      <c r="II136" s="33"/>
      <c r="IJ136" s="33"/>
      <c r="IK136" s="33"/>
      <c r="IL136" s="33"/>
      <c r="IM136" s="33"/>
      <c r="IN136" s="33"/>
      <c r="IO136" s="33"/>
      <c r="IP136" s="33"/>
      <c r="IQ136" s="33"/>
      <c r="IR136" s="33"/>
      <c r="IS136" s="33"/>
      <c r="IT136" s="33"/>
      <c r="IU136" s="33"/>
      <c r="IV136" s="33"/>
      <c r="IW136" s="33"/>
      <c r="IX136" s="33"/>
      <c r="IY136" s="33"/>
      <c r="IZ136" s="33"/>
      <c r="JA136" s="33"/>
      <c r="JB136" s="33"/>
      <c r="JC136" s="33"/>
      <c r="JD136" s="33"/>
      <c r="JE136" s="33"/>
      <c r="JF136" s="33"/>
      <c r="JG136" s="33"/>
      <c r="JH136" s="33"/>
      <c r="JI136" s="33"/>
      <c r="JJ136" s="33"/>
      <c r="JK136" s="33"/>
      <c r="JL136" s="33"/>
      <c r="JM136" s="33"/>
      <c r="JN136" s="33"/>
      <c r="JO136" s="33"/>
      <c r="JP136" s="33"/>
      <c r="JQ136" s="33"/>
      <c r="JR136" s="33"/>
      <c r="JS136" s="33"/>
      <c r="JT136" s="33"/>
      <c r="JU136" s="33"/>
      <c r="JV136" s="33"/>
      <c r="JW136" s="33"/>
      <c r="JX136" s="33"/>
      <c r="JY136" s="33"/>
      <c r="JZ136" s="33"/>
      <c r="KA136" s="33"/>
      <c r="KB136" s="33"/>
      <c r="KC136" s="33"/>
      <c r="KD136" s="33"/>
      <c r="KE136" s="33"/>
      <c r="KF136" s="33"/>
      <c r="KG136" s="33"/>
      <c r="KH136" s="33"/>
      <c r="KI136" s="33"/>
      <c r="KJ136" s="33"/>
      <c r="KK136" s="33"/>
      <c r="KL136" s="33"/>
    </row>
    <row r="137" spans="1:298" s="53" customFormat="1">
      <c r="A137" s="54"/>
      <c r="B137" s="51">
        <v>876</v>
      </c>
      <c r="C137" s="52">
        <v>24.38159769</v>
      </c>
      <c r="D137" s="52">
        <v>9.3363063299999993</v>
      </c>
      <c r="E137" s="53">
        <f t="shared" si="20"/>
        <v>0.56017837979999996</v>
      </c>
      <c r="F137" s="53">
        <f t="shared" si="21"/>
        <v>0.56017837979999996</v>
      </c>
      <c r="G137" s="53">
        <f t="shared" si="22"/>
        <v>0.56017837979999996</v>
      </c>
      <c r="H137" s="52">
        <v>0.33487066599999998</v>
      </c>
      <c r="I137" s="52">
        <v>0.32434484699999999</v>
      </c>
      <c r="J137" s="52">
        <v>0.329607757</v>
      </c>
      <c r="K137" s="53">
        <v>36</v>
      </c>
      <c r="L137" s="53">
        <v>1</v>
      </c>
      <c r="M137" s="53">
        <f t="shared" si="23"/>
        <v>24.38159769</v>
      </c>
      <c r="N137" s="53">
        <f t="shared" si="16"/>
        <v>227.63406484866036</v>
      </c>
      <c r="O137">
        <f t="shared" si="24"/>
        <v>13.658043890919629</v>
      </c>
      <c r="P137">
        <f t="shared" si="25"/>
        <v>13.658043890919629</v>
      </c>
      <c r="R137" s="33">
        <f>N137+Qy!R169</f>
        <v>352.8518066703669</v>
      </c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79"/>
      <c r="AN137" s="33"/>
      <c r="AO137" s="33"/>
      <c r="AP137" s="33"/>
      <c r="AQ137" s="33"/>
      <c r="AR137" s="33"/>
      <c r="AS137" s="78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  <c r="IK137" s="33"/>
      <c r="IL137" s="33"/>
      <c r="IM137" s="33"/>
      <c r="IN137" s="33"/>
      <c r="IO137" s="33"/>
      <c r="IP137" s="33"/>
      <c r="IQ137" s="33"/>
      <c r="IR137" s="33"/>
      <c r="IS137" s="33"/>
      <c r="IT137" s="33"/>
      <c r="IU137" s="33"/>
      <c r="IV137" s="33"/>
      <c r="IW137" s="33"/>
      <c r="IX137" s="33"/>
      <c r="IY137" s="33"/>
      <c r="IZ137" s="33"/>
      <c r="JA137" s="33"/>
      <c r="JB137" s="33"/>
      <c r="JC137" s="33"/>
      <c r="JD137" s="33"/>
      <c r="JE137" s="33"/>
      <c r="JF137" s="33"/>
      <c r="JG137" s="33"/>
      <c r="JH137" s="33"/>
      <c r="JI137" s="33"/>
      <c r="JJ137" s="33"/>
      <c r="JK137" s="33"/>
      <c r="JL137" s="33"/>
      <c r="JM137" s="33"/>
      <c r="JN137" s="33"/>
      <c r="JO137" s="33"/>
      <c r="JP137" s="33"/>
      <c r="JQ137" s="33"/>
      <c r="JR137" s="33"/>
      <c r="JS137" s="33"/>
      <c r="JT137" s="33"/>
      <c r="JU137" s="33"/>
      <c r="JV137" s="33"/>
      <c r="JW137" s="33"/>
      <c r="JX137" s="33"/>
      <c r="JY137" s="33"/>
      <c r="JZ137" s="33"/>
      <c r="KA137" s="33"/>
      <c r="KB137" s="33"/>
      <c r="KC137" s="33"/>
      <c r="KD137" s="33"/>
      <c r="KE137" s="33"/>
      <c r="KF137" s="33"/>
      <c r="KG137" s="33"/>
      <c r="KH137" s="33"/>
      <c r="KI137" s="33"/>
      <c r="KJ137" s="33"/>
      <c r="KK137" s="33"/>
      <c r="KL137" s="33"/>
    </row>
    <row r="138" spans="1:298" s="53" customFormat="1">
      <c r="A138" s="54"/>
      <c r="B138" s="51">
        <v>876</v>
      </c>
      <c r="C138" s="52">
        <v>26.581474</v>
      </c>
      <c r="D138" s="52">
        <v>9.6675243480000006</v>
      </c>
      <c r="E138" s="53">
        <f t="shared" si="20"/>
        <v>0.58005146088000004</v>
      </c>
      <c r="F138" s="53">
        <f t="shared" si="21"/>
        <v>0.58005146088000004</v>
      </c>
      <c r="G138" s="53">
        <f t="shared" si="22"/>
        <v>0.58005146088000004</v>
      </c>
      <c r="H138" s="52">
        <v>0.28772400300000001</v>
      </c>
      <c r="I138" s="52">
        <v>0.32111444500000003</v>
      </c>
      <c r="J138" s="52">
        <v>0.30441922399999999</v>
      </c>
      <c r="K138" s="53">
        <v>36</v>
      </c>
      <c r="L138" s="53">
        <v>1</v>
      </c>
      <c r="M138" s="53">
        <f t="shared" si="23"/>
        <v>26.581474</v>
      </c>
      <c r="N138" s="53">
        <f t="shared" si="16"/>
        <v>256.97704710072895</v>
      </c>
      <c r="O138">
        <f t="shared" si="24"/>
        <v>15.418622826043759</v>
      </c>
      <c r="P138">
        <f t="shared" si="25"/>
        <v>15.41862282604373</v>
      </c>
      <c r="R138" s="33">
        <f>N138+Qy!R170</f>
        <v>389.11666870180193</v>
      </c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79"/>
      <c r="AN138" s="33"/>
      <c r="AO138" s="33"/>
      <c r="AP138" s="33"/>
      <c r="AQ138" s="33"/>
      <c r="AR138" s="33"/>
      <c r="AS138" s="78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  <c r="FP138" s="33"/>
      <c r="FQ138" s="33"/>
      <c r="FR138" s="33"/>
      <c r="FS138" s="33"/>
      <c r="FT138" s="33"/>
      <c r="FU138" s="33"/>
      <c r="FV138" s="33"/>
      <c r="FW138" s="33"/>
      <c r="FX138" s="33"/>
      <c r="FY138" s="33"/>
      <c r="FZ138" s="33"/>
      <c r="GA138" s="33"/>
      <c r="GB138" s="33"/>
      <c r="GC138" s="33"/>
      <c r="GD138" s="33"/>
      <c r="GE138" s="33"/>
      <c r="GF138" s="33"/>
      <c r="GG138" s="33"/>
      <c r="GH138" s="33"/>
      <c r="GI138" s="33"/>
      <c r="GJ138" s="33"/>
      <c r="GK138" s="33"/>
      <c r="GL138" s="33"/>
      <c r="GM138" s="33"/>
      <c r="GN138" s="33"/>
      <c r="GO138" s="33"/>
      <c r="GP138" s="33"/>
      <c r="GQ138" s="33"/>
      <c r="GR138" s="33"/>
      <c r="GS138" s="33"/>
      <c r="GT138" s="33"/>
      <c r="GU138" s="33"/>
      <c r="GV138" s="33"/>
      <c r="GW138" s="33"/>
      <c r="GX138" s="33"/>
      <c r="GY138" s="33"/>
      <c r="GZ138" s="33"/>
      <c r="HA138" s="33"/>
      <c r="HB138" s="33"/>
      <c r="HC138" s="33"/>
      <c r="HD138" s="33"/>
      <c r="HE138" s="33"/>
      <c r="HF138" s="33"/>
      <c r="HG138" s="33"/>
      <c r="HH138" s="33"/>
      <c r="HI138" s="33"/>
      <c r="HJ138" s="33"/>
      <c r="HK138" s="33"/>
      <c r="HL138" s="33"/>
      <c r="HM138" s="33"/>
      <c r="HN138" s="33"/>
      <c r="HO138" s="33"/>
      <c r="HP138" s="33"/>
      <c r="HQ138" s="33"/>
      <c r="HR138" s="33"/>
      <c r="HS138" s="33"/>
      <c r="HT138" s="33"/>
      <c r="HU138" s="33"/>
      <c r="HV138" s="33"/>
      <c r="HW138" s="33"/>
      <c r="HX138" s="33"/>
      <c r="HY138" s="33"/>
      <c r="HZ138" s="33"/>
      <c r="IA138" s="33"/>
      <c r="IB138" s="33"/>
      <c r="IC138" s="33"/>
      <c r="ID138" s="33"/>
      <c r="IE138" s="33"/>
      <c r="IF138" s="33"/>
      <c r="IG138" s="33"/>
      <c r="IH138" s="33"/>
      <c r="II138" s="33"/>
      <c r="IJ138" s="33"/>
      <c r="IK138" s="33"/>
      <c r="IL138" s="33"/>
      <c r="IM138" s="33"/>
      <c r="IN138" s="33"/>
      <c r="IO138" s="33"/>
      <c r="IP138" s="33"/>
      <c r="IQ138" s="33"/>
      <c r="IR138" s="33"/>
      <c r="IS138" s="33"/>
      <c r="IT138" s="33"/>
      <c r="IU138" s="33"/>
      <c r="IV138" s="33"/>
      <c r="IW138" s="33"/>
      <c r="IX138" s="33"/>
      <c r="IY138" s="33"/>
      <c r="IZ138" s="33"/>
      <c r="JA138" s="33"/>
      <c r="JB138" s="33"/>
      <c r="JC138" s="33"/>
      <c r="JD138" s="33"/>
      <c r="JE138" s="33"/>
      <c r="JF138" s="33"/>
      <c r="JG138" s="33"/>
      <c r="JH138" s="33"/>
      <c r="JI138" s="33"/>
      <c r="JJ138" s="33"/>
      <c r="JK138" s="33"/>
      <c r="JL138" s="33"/>
      <c r="JM138" s="33"/>
      <c r="JN138" s="33"/>
      <c r="JO138" s="33"/>
      <c r="JP138" s="33"/>
      <c r="JQ138" s="33"/>
      <c r="JR138" s="33"/>
      <c r="JS138" s="33"/>
      <c r="JT138" s="33"/>
      <c r="JU138" s="33"/>
      <c r="JV138" s="33"/>
      <c r="JW138" s="33"/>
      <c r="JX138" s="33"/>
      <c r="JY138" s="33"/>
      <c r="JZ138" s="33"/>
      <c r="KA138" s="33"/>
      <c r="KB138" s="33"/>
      <c r="KC138" s="33"/>
      <c r="KD138" s="33"/>
      <c r="KE138" s="33"/>
      <c r="KF138" s="33"/>
      <c r="KG138" s="33"/>
      <c r="KH138" s="33"/>
      <c r="KI138" s="33"/>
      <c r="KJ138" s="33"/>
      <c r="KK138" s="33"/>
      <c r="KL138" s="33"/>
    </row>
    <row r="139" spans="1:298" s="53" customFormat="1">
      <c r="A139" s="54"/>
      <c r="B139" s="51">
        <v>876</v>
      </c>
      <c r="C139" s="52">
        <v>29.417808040000001</v>
      </c>
      <c r="D139" s="52">
        <v>9.6732402319999995</v>
      </c>
      <c r="E139" s="53">
        <f t="shared" si="20"/>
        <v>0.58039441391999991</v>
      </c>
      <c r="F139" s="53">
        <f t="shared" si="21"/>
        <v>0.58039441391999991</v>
      </c>
      <c r="G139" s="53">
        <f t="shared" si="22"/>
        <v>0.58039441391999991</v>
      </c>
      <c r="H139" s="52">
        <v>0.27780197400000001</v>
      </c>
      <c r="I139" s="52">
        <v>0.33001609199999998</v>
      </c>
      <c r="J139" s="52">
        <v>0.303909033</v>
      </c>
      <c r="K139" s="53">
        <v>36</v>
      </c>
      <c r="L139" s="53">
        <v>1</v>
      </c>
      <c r="M139" s="53">
        <f t="shared" si="23"/>
        <v>29.417808040000001</v>
      </c>
      <c r="N139" s="53">
        <f t="shared" ref="N139:N202" si="26">C139*D139*L139</f>
        <v>284.56552426978106</v>
      </c>
      <c r="O139">
        <f t="shared" si="24"/>
        <v>17.07393145618687</v>
      </c>
      <c r="P139">
        <f t="shared" si="25"/>
        <v>17.07393145618687</v>
      </c>
      <c r="R139" s="33">
        <f>N139+Qy!R171</f>
        <v>424.29674115797638</v>
      </c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79"/>
      <c r="AN139" s="33"/>
      <c r="AO139" s="33"/>
      <c r="AP139" s="33"/>
      <c r="AQ139" s="33"/>
      <c r="AR139" s="33"/>
      <c r="AS139" s="78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  <c r="FP139" s="33"/>
      <c r="FQ139" s="33"/>
      <c r="FR139" s="33"/>
      <c r="FS139" s="33"/>
      <c r="FT139" s="33"/>
      <c r="FU139" s="33"/>
      <c r="FV139" s="33"/>
      <c r="FW139" s="33"/>
      <c r="FX139" s="33"/>
      <c r="FY139" s="33"/>
      <c r="FZ139" s="33"/>
      <c r="GA139" s="33"/>
      <c r="GB139" s="33"/>
      <c r="GC139" s="33"/>
      <c r="GD139" s="33"/>
      <c r="GE139" s="33"/>
      <c r="GF139" s="33"/>
      <c r="GG139" s="33"/>
      <c r="GH139" s="33"/>
      <c r="GI139" s="33"/>
      <c r="GJ139" s="33"/>
      <c r="GK139" s="33"/>
      <c r="GL139" s="33"/>
      <c r="GM139" s="33"/>
      <c r="GN139" s="33"/>
      <c r="GO139" s="33"/>
      <c r="GP139" s="33"/>
      <c r="GQ139" s="33"/>
      <c r="GR139" s="33"/>
      <c r="GS139" s="33"/>
      <c r="GT139" s="33"/>
      <c r="GU139" s="33"/>
      <c r="GV139" s="33"/>
      <c r="GW139" s="33"/>
      <c r="GX139" s="33"/>
      <c r="GY139" s="33"/>
      <c r="GZ139" s="33"/>
      <c r="HA139" s="33"/>
      <c r="HB139" s="33"/>
      <c r="HC139" s="33"/>
      <c r="HD139" s="33"/>
      <c r="HE139" s="33"/>
      <c r="HF139" s="33"/>
      <c r="HG139" s="33"/>
      <c r="HH139" s="33"/>
      <c r="HI139" s="33"/>
      <c r="HJ139" s="33"/>
      <c r="HK139" s="33"/>
      <c r="HL139" s="33"/>
      <c r="HM139" s="33"/>
      <c r="HN139" s="33"/>
      <c r="HO139" s="33"/>
      <c r="HP139" s="33"/>
      <c r="HQ139" s="33"/>
      <c r="HR139" s="33"/>
      <c r="HS139" s="33"/>
      <c r="HT139" s="33"/>
      <c r="HU139" s="33"/>
      <c r="HV139" s="33"/>
      <c r="HW139" s="33"/>
      <c r="HX139" s="33"/>
      <c r="HY139" s="33"/>
      <c r="HZ139" s="33"/>
      <c r="IA139" s="33"/>
      <c r="IB139" s="33"/>
      <c r="IC139" s="33"/>
      <c r="ID139" s="33"/>
      <c r="IE139" s="33"/>
      <c r="IF139" s="33"/>
      <c r="IG139" s="33"/>
      <c r="IH139" s="33"/>
      <c r="II139" s="33"/>
      <c r="IJ139" s="33"/>
      <c r="IK139" s="33"/>
      <c r="IL139" s="33"/>
      <c r="IM139" s="33"/>
      <c r="IN139" s="33"/>
      <c r="IO139" s="33"/>
      <c r="IP139" s="33"/>
      <c r="IQ139" s="33"/>
      <c r="IR139" s="33"/>
      <c r="IS139" s="33"/>
      <c r="IT139" s="33"/>
      <c r="IU139" s="33"/>
      <c r="IV139" s="33"/>
      <c r="IW139" s="33"/>
      <c r="IX139" s="33"/>
      <c r="IY139" s="33"/>
      <c r="IZ139" s="33"/>
      <c r="JA139" s="33"/>
      <c r="JB139" s="33"/>
      <c r="JC139" s="33"/>
      <c r="JD139" s="33"/>
      <c r="JE139" s="33"/>
      <c r="JF139" s="33"/>
      <c r="JG139" s="33"/>
      <c r="JH139" s="33"/>
      <c r="JI139" s="33"/>
      <c r="JJ139" s="33"/>
      <c r="JK139" s="33"/>
      <c r="JL139" s="33"/>
      <c r="JM139" s="33"/>
      <c r="JN139" s="33"/>
      <c r="JO139" s="33"/>
      <c r="JP139" s="33"/>
      <c r="JQ139" s="33"/>
      <c r="JR139" s="33"/>
      <c r="JS139" s="33"/>
      <c r="JT139" s="33"/>
      <c r="JU139" s="33"/>
      <c r="JV139" s="33"/>
      <c r="JW139" s="33"/>
      <c r="JX139" s="33"/>
      <c r="JY139" s="33"/>
      <c r="JZ139" s="33"/>
      <c r="KA139" s="33"/>
      <c r="KB139" s="33"/>
      <c r="KC139" s="33"/>
      <c r="KD139" s="33"/>
      <c r="KE139" s="33"/>
      <c r="KF139" s="33"/>
      <c r="KG139" s="33"/>
      <c r="KH139" s="33"/>
      <c r="KI139" s="33"/>
      <c r="KJ139" s="33"/>
      <c r="KK139" s="33"/>
      <c r="KL139" s="33"/>
    </row>
    <row r="140" spans="1:298" s="53" customFormat="1">
      <c r="A140" s="54"/>
      <c r="B140" s="51">
        <v>876</v>
      </c>
      <c r="C140" s="52">
        <v>32.922489149999997</v>
      </c>
      <c r="D140" s="52">
        <v>9.8327336049999996</v>
      </c>
      <c r="E140" s="53">
        <f t="shared" si="20"/>
        <v>0.58996401629999995</v>
      </c>
      <c r="F140" s="53">
        <f t="shared" si="21"/>
        <v>0.58996401629999995</v>
      </c>
      <c r="G140" s="53">
        <f t="shared" si="22"/>
        <v>0.58996401629999995</v>
      </c>
      <c r="H140" s="52">
        <v>0.279466402</v>
      </c>
      <c r="I140" s="52">
        <v>0.32774557700000001</v>
      </c>
      <c r="J140" s="52">
        <v>0.30360598999999999</v>
      </c>
      <c r="K140" s="53">
        <v>36</v>
      </c>
      <c r="L140" s="53">
        <v>1</v>
      </c>
      <c r="M140" s="53">
        <f t="shared" si="23"/>
        <v>32.922489149999997</v>
      </c>
      <c r="N140" s="53">
        <f t="shared" si="26"/>
        <v>323.71806542545283</v>
      </c>
      <c r="O140">
        <f t="shared" si="24"/>
        <v>19.42308392552718</v>
      </c>
      <c r="P140">
        <f t="shared" si="25"/>
        <v>19.42308392552718</v>
      </c>
      <c r="R140" s="33">
        <f>N140+Qy!R172</f>
        <v>475.59302468428336</v>
      </c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79"/>
      <c r="AN140" s="33"/>
      <c r="AO140" s="33"/>
      <c r="AP140" s="33"/>
      <c r="AQ140" s="33"/>
      <c r="AR140" s="33"/>
      <c r="AS140" s="78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  <c r="FQ140" s="33"/>
      <c r="FR140" s="33"/>
      <c r="FS140" s="33"/>
      <c r="FT140" s="33"/>
      <c r="FU140" s="33"/>
      <c r="FV140" s="33"/>
      <c r="FW140" s="33"/>
      <c r="FX140" s="33"/>
      <c r="FY140" s="33"/>
      <c r="FZ140" s="33"/>
      <c r="GA140" s="33"/>
      <c r="GB140" s="33"/>
      <c r="GC140" s="33"/>
      <c r="GD140" s="33"/>
      <c r="GE140" s="33"/>
      <c r="GF140" s="33"/>
      <c r="GG140" s="33"/>
      <c r="GH140" s="33"/>
      <c r="GI140" s="33"/>
      <c r="GJ140" s="33"/>
      <c r="GK140" s="33"/>
      <c r="GL140" s="33"/>
      <c r="GM140" s="33"/>
      <c r="GN140" s="33"/>
      <c r="GO140" s="33"/>
      <c r="GP140" s="33"/>
      <c r="GQ140" s="33"/>
      <c r="GR140" s="33"/>
      <c r="GS140" s="33"/>
      <c r="GT140" s="33"/>
      <c r="GU140" s="33"/>
      <c r="GV140" s="33"/>
      <c r="GW140" s="33"/>
      <c r="GX140" s="33"/>
      <c r="GY140" s="33"/>
      <c r="GZ140" s="33"/>
      <c r="HA140" s="33"/>
      <c r="HB140" s="33"/>
      <c r="HC140" s="33"/>
      <c r="HD140" s="33"/>
      <c r="HE140" s="33"/>
      <c r="HF140" s="33"/>
      <c r="HG140" s="33"/>
      <c r="HH140" s="33"/>
      <c r="HI140" s="33"/>
      <c r="HJ140" s="33"/>
      <c r="HK140" s="33"/>
      <c r="HL140" s="33"/>
      <c r="HM140" s="33"/>
      <c r="HN140" s="33"/>
      <c r="HO140" s="33"/>
      <c r="HP140" s="33"/>
      <c r="HQ140" s="33"/>
      <c r="HR140" s="33"/>
      <c r="HS140" s="33"/>
      <c r="HT140" s="33"/>
      <c r="HU140" s="33"/>
      <c r="HV140" s="33"/>
      <c r="HW140" s="33"/>
      <c r="HX140" s="33"/>
      <c r="HY140" s="33"/>
      <c r="HZ140" s="33"/>
      <c r="IA140" s="33"/>
      <c r="IB140" s="33"/>
      <c r="IC140" s="33"/>
      <c r="ID140" s="33"/>
      <c r="IE140" s="33"/>
      <c r="IF140" s="33"/>
      <c r="IG140" s="33"/>
      <c r="IH140" s="33"/>
      <c r="II140" s="33"/>
      <c r="IJ140" s="33"/>
      <c r="IK140" s="33"/>
      <c r="IL140" s="33"/>
      <c r="IM140" s="33"/>
      <c r="IN140" s="33"/>
      <c r="IO140" s="33"/>
      <c r="IP140" s="33"/>
      <c r="IQ140" s="33"/>
      <c r="IR140" s="33"/>
      <c r="IS140" s="33"/>
      <c r="IT140" s="33"/>
      <c r="IU140" s="33"/>
      <c r="IV140" s="33"/>
      <c r="IW140" s="33"/>
      <c r="IX140" s="33"/>
      <c r="IY140" s="33"/>
      <c r="IZ140" s="33"/>
      <c r="JA140" s="33"/>
      <c r="JB140" s="33"/>
      <c r="JC140" s="33"/>
      <c r="JD140" s="33"/>
      <c r="JE140" s="33"/>
      <c r="JF140" s="33"/>
      <c r="JG140" s="33"/>
      <c r="JH140" s="33"/>
      <c r="JI140" s="33"/>
      <c r="JJ140" s="33"/>
      <c r="JK140" s="33"/>
      <c r="JL140" s="33"/>
      <c r="JM140" s="33"/>
      <c r="JN140" s="33"/>
      <c r="JO140" s="33"/>
      <c r="JP140" s="33"/>
      <c r="JQ140" s="33"/>
      <c r="JR140" s="33"/>
      <c r="JS140" s="33"/>
      <c r="JT140" s="33"/>
      <c r="JU140" s="33"/>
      <c r="JV140" s="33"/>
      <c r="JW140" s="33"/>
      <c r="JX140" s="33"/>
      <c r="JY140" s="33"/>
      <c r="JZ140" s="33"/>
      <c r="KA140" s="33"/>
      <c r="KB140" s="33"/>
      <c r="KC140" s="33"/>
      <c r="KD140" s="33"/>
      <c r="KE140" s="33"/>
      <c r="KF140" s="33"/>
      <c r="KG140" s="33"/>
      <c r="KH140" s="33"/>
      <c r="KI140" s="33"/>
      <c r="KJ140" s="33"/>
      <c r="KK140" s="33"/>
      <c r="KL140" s="33"/>
    </row>
    <row r="141" spans="1:298" s="53" customFormat="1">
      <c r="A141" s="54"/>
      <c r="B141" s="51">
        <v>876</v>
      </c>
      <c r="C141" s="52">
        <v>37.54028701</v>
      </c>
      <c r="D141" s="52">
        <v>10.102234729999999</v>
      </c>
      <c r="E141" s="53">
        <f t="shared" si="20"/>
        <v>0.60613408379999989</v>
      </c>
      <c r="F141" s="53">
        <f t="shared" si="21"/>
        <v>0.60613408379999989</v>
      </c>
      <c r="G141" s="53">
        <f t="shared" si="22"/>
        <v>0.60613408379999989</v>
      </c>
      <c r="H141" s="52">
        <v>0.46654917400000001</v>
      </c>
      <c r="I141" s="52">
        <v>0.36195212900000001</v>
      </c>
      <c r="J141" s="52">
        <v>0.414250652</v>
      </c>
      <c r="K141" s="53">
        <v>36</v>
      </c>
      <c r="L141" s="53">
        <v>1</v>
      </c>
      <c r="M141" s="53">
        <f t="shared" si="23"/>
        <v>37.54028701</v>
      </c>
      <c r="N141" s="53">
        <f t="shared" si="26"/>
        <v>379.24079120658985</v>
      </c>
      <c r="O141">
        <f t="shared" si="24"/>
        <v>22.754447472395384</v>
      </c>
      <c r="P141">
        <f t="shared" si="25"/>
        <v>22.754447472395441</v>
      </c>
      <c r="R141" s="33">
        <f>N141+Qy!R173</f>
        <v>544.24699616091539</v>
      </c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79"/>
      <c r="AN141" s="33"/>
      <c r="AO141" s="33"/>
      <c r="AP141" s="33"/>
      <c r="AQ141" s="33"/>
      <c r="AR141" s="33"/>
      <c r="AS141" s="78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  <c r="FQ141" s="33"/>
      <c r="FR141" s="33"/>
      <c r="FS141" s="33"/>
      <c r="FT141" s="33"/>
      <c r="FU141" s="33"/>
      <c r="FV141" s="33"/>
      <c r="FW141" s="33"/>
      <c r="FX141" s="33"/>
      <c r="FY141" s="33"/>
      <c r="FZ141" s="33"/>
      <c r="GA141" s="33"/>
      <c r="GB141" s="33"/>
      <c r="GC141" s="33"/>
      <c r="GD141" s="33"/>
      <c r="GE141" s="33"/>
      <c r="GF141" s="33"/>
      <c r="GG141" s="33"/>
      <c r="GH141" s="33"/>
      <c r="GI141" s="33"/>
      <c r="GJ141" s="33"/>
      <c r="GK141" s="33"/>
      <c r="GL141" s="33"/>
      <c r="GM141" s="33"/>
      <c r="GN141" s="33"/>
      <c r="GO141" s="33"/>
      <c r="GP141" s="33"/>
      <c r="GQ141" s="33"/>
      <c r="GR141" s="33"/>
      <c r="GS141" s="33"/>
      <c r="GT141" s="33"/>
      <c r="GU141" s="33"/>
      <c r="GV141" s="33"/>
      <c r="GW141" s="33"/>
      <c r="GX141" s="33"/>
      <c r="GY141" s="33"/>
      <c r="GZ141" s="33"/>
      <c r="HA141" s="33"/>
      <c r="HB141" s="33"/>
      <c r="HC141" s="33"/>
      <c r="HD141" s="33"/>
      <c r="HE141" s="33"/>
      <c r="HF141" s="33"/>
      <c r="HG141" s="33"/>
      <c r="HH141" s="33"/>
      <c r="HI141" s="33"/>
      <c r="HJ141" s="33"/>
      <c r="HK141" s="33"/>
      <c r="HL141" s="33"/>
      <c r="HM141" s="33"/>
      <c r="HN141" s="33"/>
      <c r="HO141" s="33"/>
      <c r="HP141" s="33"/>
      <c r="HQ141" s="33"/>
      <c r="HR141" s="33"/>
      <c r="HS141" s="33"/>
      <c r="HT141" s="33"/>
      <c r="HU141" s="33"/>
      <c r="HV141" s="33"/>
      <c r="HW141" s="33"/>
      <c r="HX141" s="33"/>
      <c r="HY141" s="33"/>
      <c r="HZ141" s="33"/>
      <c r="IA141" s="33"/>
      <c r="IB141" s="33"/>
      <c r="IC141" s="33"/>
      <c r="ID141" s="33"/>
      <c r="IE141" s="33"/>
      <c r="IF141" s="33"/>
      <c r="IG141" s="33"/>
      <c r="IH141" s="33"/>
      <c r="II141" s="33"/>
      <c r="IJ141" s="33"/>
      <c r="IK141" s="33"/>
      <c r="IL141" s="33"/>
      <c r="IM141" s="33"/>
      <c r="IN141" s="33"/>
      <c r="IO141" s="33"/>
      <c r="IP141" s="33"/>
      <c r="IQ141" s="33"/>
      <c r="IR141" s="33"/>
      <c r="IS141" s="33"/>
      <c r="IT141" s="33"/>
      <c r="IU141" s="33"/>
      <c r="IV141" s="33"/>
      <c r="IW141" s="33"/>
      <c r="IX141" s="33"/>
      <c r="IY141" s="33"/>
      <c r="IZ141" s="33"/>
      <c r="JA141" s="33"/>
      <c r="JB141" s="33"/>
      <c r="JC141" s="33"/>
      <c r="JD141" s="33"/>
      <c r="JE141" s="33"/>
      <c r="JF141" s="33"/>
      <c r="JG141" s="33"/>
      <c r="JH141" s="33"/>
      <c r="JI141" s="33"/>
      <c r="JJ141" s="33"/>
      <c r="JK141" s="33"/>
      <c r="JL141" s="33"/>
      <c r="JM141" s="33"/>
      <c r="JN141" s="33"/>
      <c r="JO141" s="33"/>
      <c r="JP141" s="33"/>
      <c r="JQ141" s="33"/>
      <c r="JR141" s="33"/>
      <c r="JS141" s="33"/>
      <c r="JT141" s="33"/>
      <c r="JU141" s="33"/>
      <c r="JV141" s="33"/>
      <c r="JW141" s="33"/>
      <c r="JX141" s="33"/>
      <c r="JY141" s="33"/>
      <c r="JZ141" s="33"/>
      <c r="KA141" s="33"/>
      <c r="KB141" s="33"/>
      <c r="KC141" s="33"/>
      <c r="KD141" s="33"/>
      <c r="KE141" s="33"/>
      <c r="KF141" s="33"/>
      <c r="KG141" s="33"/>
      <c r="KH141" s="33"/>
      <c r="KI141" s="33"/>
      <c r="KJ141" s="33"/>
      <c r="KK141" s="33"/>
      <c r="KL141" s="33"/>
    </row>
    <row r="142" spans="1:298" s="53" customFormat="1">
      <c r="A142" s="54"/>
      <c r="B142" s="51">
        <v>876</v>
      </c>
      <c r="C142" s="52">
        <v>42.226866090000001</v>
      </c>
      <c r="D142" s="52">
        <v>10.27992049</v>
      </c>
      <c r="E142" s="53">
        <f t="shared" si="20"/>
        <v>0.61679522939999998</v>
      </c>
      <c r="F142" s="53">
        <f t="shared" si="21"/>
        <v>0.61679522939999998</v>
      </c>
      <c r="G142" s="53">
        <f t="shared" si="22"/>
        <v>0.61679522939999998</v>
      </c>
      <c r="H142" s="52">
        <v>0.37548021599999998</v>
      </c>
      <c r="I142" s="52">
        <v>0.287087967</v>
      </c>
      <c r="J142" s="52">
        <v>0.33128409199999997</v>
      </c>
      <c r="K142" s="53">
        <v>36</v>
      </c>
      <c r="L142" s="53">
        <v>1</v>
      </c>
      <c r="M142" s="53">
        <f t="shared" si="23"/>
        <v>42.226866090000001</v>
      </c>
      <c r="N142" s="53">
        <f t="shared" si="26"/>
        <v>434.08882594707723</v>
      </c>
      <c r="O142">
        <f t="shared" si="24"/>
        <v>26.045329556824584</v>
      </c>
      <c r="P142">
        <f t="shared" si="25"/>
        <v>26.045329556824584</v>
      </c>
      <c r="R142" s="33">
        <f>N142+Qy!R175</f>
        <v>625.43275343304958</v>
      </c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79"/>
      <c r="AN142" s="33"/>
      <c r="AO142" s="33"/>
      <c r="AP142" s="33"/>
      <c r="AQ142" s="33"/>
      <c r="AR142" s="33"/>
      <c r="AS142" s="78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  <c r="FQ142" s="33"/>
      <c r="FR142" s="33"/>
      <c r="FS142" s="33"/>
      <c r="FT142" s="33"/>
      <c r="FU142" s="33"/>
      <c r="FV142" s="33"/>
      <c r="FW142" s="33"/>
      <c r="FX142" s="33"/>
      <c r="FY142" s="33"/>
      <c r="FZ142" s="33"/>
      <c r="GA142" s="33"/>
      <c r="GB142" s="33"/>
      <c r="GC142" s="33"/>
      <c r="GD142" s="33"/>
      <c r="GE142" s="33"/>
      <c r="GF142" s="33"/>
      <c r="GG142" s="33"/>
      <c r="GH142" s="33"/>
      <c r="GI142" s="33"/>
      <c r="GJ142" s="33"/>
      <c r="GK142" s="33"/>
      <c r="GL142" s="33"/>
      <c r="GM142" s="33"/>
      <c r="GN142" s="33"/>
      <c r="GO142" s="33"/>
      <c r="GP142" s="33"/>
      <c r="GQ142" s="33"/>
      <c r="GR142" s="33"/>
      <c r="GS142" s="33"/>
      <c r="GT142" s="33"/>
      <c r="GU142" s="33"/>
      <c r="GV142" s="33"/>
      <c r="GW142" s="33"/>
      <c r="GX142" s="33"/>
      <c r="GY142" s="33"/>
      <c r="GZ142" s="33"/>
      <c r="HA142" s="33"/>
      <c r="HB142" s="33"/>
      <c r="HC142" s="33"/>
      <c r="HD142" s="33"/>
      <c r="HE142" s="33"/>
      <c r="HF142" s="33"/>
      <c r="HG142" s="33"/>
      <c r="HH142" s="33"/>
      <c r="HI142" s="33"/>
      <c r="HJ142" s="33"/>
      <c r="HK142" s="33"/>
      <c r="HL142" s="33"/>
      <c r="HM142" s="33"/>
      <c r="HN142" s="33"/>
      <c r="HO142" s="33"/>
      <c r="HP142" s="33"/>
      <c r="HQ142" s="33"/>
      <c r="HR142" s="33"/>
      <c r="HS142" s="33"/>
      <c r="HT142" s="33"/>
      <c r="HU142" s="33"/>
      <c r="HV142" s="33"/>
      <c r="HW142" s="33"/>
      <c r="HX142" s="33"/>
      <c r="HY142" s="33"/>
      <c r="HZ142" s="33"/>
      <c r="IA142" s="33"/>
      <c r="IB142" s="33"/>
      <c r="IC142" s="33"/>
      <c r="ID142" s="33"/>
      <c r="IE142" s="33"/>
      <c r="IF142" s="33"/>
      <c r="IG142" s="33"/>
      <c r="IH142" s="33"/>
      <c r="II142" s="33"/>
      <c r="IJ142" s="33"/>
      <c r="IK142" s="33"/>
      <c r="IL142" s="33"/>
      <c r="IM142" s="33"/>
      <c r="IN142" s="33"/>
      <c r="IO142" s="33"/>
      <c r="IP142" s="33"/>
      <c r="IQ142" s="33"/>
      <c r="IR142" s="33"/>
      <c r="IS142" s="33"/>
      <c r="IT142" s="33"/>
      <c r="IU142" s="33"/>
      <c r="IV142" s="33"/>
      <c r="IW142" s="33"/>
      <c r="IX142" s="33"/>
      <c r="IY142" s="33"/>
      <c r="IZ142" s="33"/>
      <c r="JA142" s="33"/>
      <c r="JB142" s="33"/>
      <c r="JC142" s="33"/>
      <c r="JD142" s="33"/>
      <c r="JE142" s="33"/>
      <c r="JF142" s="33"/>
      <c r="JG142" s="33"/>
      <c r="JH142" s="33"/>
      <c r="JI142" s="33"/>
      <c r="JJ142" s="33"/>
      <c r="JK142" s="33"/>
      <c r="JL142" s="33"/>
      <c r="JM142" s="33"/>
      <c r="JN142" s="33"/>
      <c r="JO142" s="33"/>
      <c r="JP142" s="33"/>
      <c r="JQ142" s="33"/>
      <c r="JR142" s="33"/>
      <c r="JS142" s="33"/>
      <c r="JT142" s="33"/>
      <c r="JU142" s="33"/>
      <c r="JV142" s="33"/>
      <c r="JW142" s="33"/>
      <c r="JX142" s="33"/>
      <c r="JY142" s="33"/>
      <c r="JZ142" s="33"/>
      <c r="KA142" s="33"/>
      <c r="KB142" s="33"/>
      <c r="KC142" s="33"/>
      <c r="KD142" s="33"/>
      <c r="KE142" s="33"/>
      <c r="KF142" s="33"/>
      <c r="KG142" s="33"/>
      <c r="KH142" s="33"/>
      <c r="KI142" s="33"/>
      <c r="KJ142" s="33"/>
      <c r="KK142" s="33"/>
      <c r="KL142" s="33"/>
    </row>
    <row r="143" spans="1:298" s="53" customFormat="1">
      <c r="A143" s="54"/>
      <c r="B143" s="51">
        <v>876</v>
      </c>
      <c r="C143" s="52">
        <v>46.700567560000003</v>
      </c>
      <c r="D143" s="52">
        <v>10.537459760000001</v>
      </c>
      <c r="E143" s="53">
        <f t="shared" si="20"/>
        <v>0.63224758560000005</v>
      </c>
      <c r="F143" s="53">
        <f t="shared" si="21"/>
        <v>0.63224758560000005</v>
      </c>
      <c r="G143" s="53">
        <f t="shared" si="22"/>
        <v>0.63224758560000005</v>
      </c>
      <c r="H143" s="52">
        <v>0.47353676300000003</v>
      </c>
      <c r="I143" s="52">
        <v>0.35217029399999999</v>
      </c>
      <c r="J143" s="52">
        <v>0.412853529</v>
      </c>
      <c r="K143" s="53">
        <v>36</v>
      </c>
      <c r="L143" s="53">
        <v>1</v>
      </c>
      <c r="M143" s="53">
        <f t="shared" si="23"/>
        <v>46.700567560000003</v>
      </c>
      <c r="N143" s="53">
        <f t="shared" si="26"/>
        <v>492.10535143266145</v>
      </c>
      <c r="O143">
        <f t="shared" si="24"/>
        <v>29.526321085959694</v>
      </c>
      <c r="P143">
        <f t="shared" si="25"/>
        <v>29.526321085959694</v>
      </c>
      <c r="R143" s="33">
        <f>N143+Qy!R176</f>
        <v>699.7157766808084</v>
      </c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79"/>
      <c r="AN143" s="33"/>
      <c r="AO143" s="33"/>
      <c r="AP143" s="33"/>
      <c r="AQ143" s="33"/>
      <c r="AR143" s="33"/>
      <c r="AS143" s="78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  <c r="FP143" s="33"/>
      <c r="FQ143" s="33"/>
      <c r="FR143" s="33"/>
      <c r="FS143" s="33"/>
      <c r="FT143" s="33"/>
      <c r="FU143" s="33"/>
      <c r="FV143" s="33"/>
      <c r="FW143" s="33"/>
      <c r="FX143" s="33"/>
      <c r="FY143" s="33"/>
      <c r="FZ143" s="33"/>
      <c r="GA143" s="33"/>
      <c r="GB143" s="33"/>
      <c r="GC143" s="33"/>
      <c r="GD143" s="33"/>
      <c r="GE143" s="33"/>
      <c r="GF143" s="33"/>
      <c r="GG143" s="33"/>
      <c r="GH143" s="33"/>
      <c r="GI143" s="33"/>
      <c r="GJ143" s="33"/>
      <c r="GK143" s="33"/>
      <c r="GL143" s="33"/>
      <c r="GM143" s="33"/>
      <c r="GN143" s="33"/>
      <c r="GO143" s="33"/>
      <c r="GP143" s="33"/>
      <c r="GQ143" s="33"/>
      <c r="GR143" s="33"/>
      <c r="GS143" s="33"/>
      <c r="GT143" s="33"/>
      <c r="GU143" s="33"/>
      <c r="GV143" s="33"/>
      <c r="GW143" s="33"/>
      <c r="GX143" s="33"/>
      <c r="GY143" s="33"/>
      <c r="GZ143" s="33"/>
      <c r="HA143" s="33"/>
      <c r="HB143" s="33"/>
      <c r="HC143" s="33"/>
      <c r="HD143" s="33"/>
      <c r="HE143" s="33"/>
      <c r="HF143" s="33"/>
      <c r="HG143" s="33"/>
      <c r="HH143" s="33"/>
      <c r="HI143" s="33"/>
      <c r="HJ143" s="33"/>
      <c r="HK143" s="33"/>
      <c r="HL143" s="33"/>
      <c r="HM143" s="33"/>
      <c r="HN143" s="33"/>
      <c r="HO143" s="33"/>
      <c r="HP143" s="33"/>
      <c r="HQ143" s="33"/>
      <c r="HR143" s="33"/>
      <c r="HS143" s="33"/>
      <c r="HT143" s="33"/>
      <c r="HU143" s="33"/>
      <c r="HV143" s="33"/>
      <c r="HW143" s="33"/>
      <c r="HX143" s="33"/>
      <c r="HY143" s="33"/>
      <c r="HZ143" s="33"/>
      <c r="IA143" s="33"/>
      <c r="IB143" s="33"/>
      <c r="IC143" s="33"/>
      <c r="ID143" s="33"/>
      <c r="IE143" s="33"/>
      <c r="IF143" s="33"/>
      <c r="IG143" s="33"/>
      <c r="IH143" s="33"/>
      <c r="II143" s="33"/>
      <c r="IJ143" s="33"/>
      <c r="IK143" s="33"/>
      <c r="IL143" s="33"/>
      <c r="IM143" s="33"/>
      <c r="IN143" s="33"/>
      <c r="IO143" s="33"/>
      <c r="IP143" s="33"/>
      <c r="IQ143" s="33"/>
      <c r="IR143" s="33"/>
      <c r="IS143" s="33"/>
      <c r="IT143" s="33"/>
      <c r="IU143" s="33"/>
      <c r="IV143" s="33"/>
      <c r="IW143" s="33"/>
      <c r="IX143" s="33"/>
      <c r="IY143" s="33"/>
      <c r="IZ143" s="33"/>
      <c r="JA143" s="33"/>
      <c r="JB143" s="33"/>
      <c r="JC143" s="33"/>
      <c r="JD143" s="33"/>
      <c r="JE143" s="33"/>
      <c r="JF143" s="33"/>
      <c r="JG143" s="33"/>
      <c r="JH143" s="33"/>
      <c r="JI143" s="33"/>
      <c r="JJ143" s="33"/>
      <c r="JK143" s="33"/>
      <c r="JL143" s="33"/>
      <c r="JM143" s="33"/>
      <c r="JN143" s="33"/>
      <c r="JO143" s="33"/>
      <c r="JP143" s="33"/>
      <c r="JQ143" s="33"/>
      <c r="JR143" s="33"/>
      <c r="JS143" s="33"/>
      <c r="JT143" s="33"/>
      <c r="JU143" s="33"/>
      <c r="JV143" s="33"/>
      <c r="JW143" s="33"/>
      <c r="JX143" s="33"/>
      <c r="JY143" s="33"/>
      <c r="JZ143" s="33"/>
      <c r="KA143" s="33"/>
      <c r="KB143" s="33"/>
      <c r="KC143" s="33"/>
      <c r="KD143" s="33"/>
      <c r="KE143" s="33"/>
      <c r="KF143" s="33"/>
      <c r="KG143" s="33"/>
      <c r="KH143" s="33"/>
      <c r="KI143" s="33"/>
      <c r="KJ143" s="33"/>
      <c r="KK143" s="33"/>
      <c r="KL143" s="33"/>
    </row>
    <row r="144" spans="1:298" s="53" customFormat="1">
      <c r="A144" s="54"/>
      <c r="B144" s="51">
        <v>876</v>
      </c>
      <c r="C144" s="52">
        <v>56.5</v>
      </c>
      <c r="D144" s="52">
        <v>10.839348319999999</v>
      </c>
      <c r="E144" s="53">
        <f t="shared" si="20"/>
        <v>0.65036089919999995</v>
      </c>
      <c r="F144" s="53">
        <f t="shared" si="21"/>
        <v>0.65036089919999995</v>
      </c>
      <c r="G144" s="53">
        <f t="shared" si="22"/>
        <v>0.65036089919999995</v>
      </c>
      <c r="H144" s="52">
        <v>0.372884508</v>
      </c>
      <c r="I144" s="52">
        <v>0.299861143</v>
      </c>
      <c r="J144" s="52">
        <v>0.33637282600000001</v>
      </c>
      <c r="K144" s="53">
        <v>36</v>
      </c>
      <c r="L144" s="53">
        <v>1</v>
      </c>
      <c r="M144" s="53">
        <f t="shared" si="23"/>
        <v>56.5</v>
      </c>
      <c r="N144" s="53">
        <f t="shared" si="26"/>
        <v>612.42318007999995</v>
      </c>
      <c r="O144">
        <f t="shared" si="24"/>
        <v>36.745390804800081</v>
      </c>
      <c r="P144">
        <f t="shared" si="25"/>
        <v>36.745390804800081</v>
      </c>
      <c r="R144" s="33">
        <f>N144+Qy!R177</f>
        <v>839.90194557999996</v>
      </c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79"/>
      <c r="AN144" s="33"/>
      <c r="AO144" s="33"/>
      <c r="AP144" s="33"/>
      <c r="AQ144" s="33"/>
      <c r="AR144" s="33"/>
      <c r="AS144" s="78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  <c r="FQ144" s="33"/>
      <c r="FR144" s="33"/>
      <c r="FS144" s="33"/>
      <c r="FT144" s="33"/>
      <c r="FU144" s="33"/>
      <c r="FV144" s="33"/>
      <c r="FW144" s="33"/>
      <c r="FX144" s="33"/>
      <c r="FY144" s="33"/>
      <c r="FZ144" s="33"/>
      <c r="GA144" s="33"/>
      <c r="GB144" s="33"/>
      <c r="GC144" s="33"/>
      <c r="GD144" s="33"/>
      <c r="GE144" s="33"/>
      <c r="GF144" s="33"/>
      <c r="GG144" s="33"/>
      <c r="GH144" s="33"/>
      <c r="GI144" s="33"/>
      <c r="GJ144" s="33"/>
      <c r="GK144" s="33"/>
      <c r="GL144" s="33"/>
      <c r="GM144" s="33"/>
      <c r="GN144" s="33"/>
      <c r="GO144" s="33"/>
      <c r="GP144" s="33"/>
      <c r="GQ144" s="33"/>
      <c r="GR144" s="33"/>
      <c r="GS144" s="33"/>
      <c r="GT144" s="33"/>
      <c r="GU144" s="33"/>
      <c r="GV144" s="33"/>
      <c r="GW144" s="33"/>
      <c r="GX144" s="33"/>
      <c r="GY144" s="33"/>
      <c r="GZ144" s="33"/>
      <c r="HA144" s="33"/>
      <c r="HB144" s="33"/>
      <c r="HC144" s="33"/>
      <c r="HD144" s="33"/>
      <c r="HE144" s="33"/>
      <c r="HF144" s="33"/>
      <c r="HG144" s="33"/>
      <c r="HH144" s="33"/>
      <c r="HI144" s="33"/>
      <c r="HJ144" s="33"/>
      <c r="HK144" s="33"/>
      <c r="HL144" s="33"/>
      <c r="HM144" s="33"/>
      <c r="HN144" s="33"/>
      <c r="HO144" s="33"/>
      <c r="HP144" s="33"/>
      <c r="HQ144" s="33"/>
      <c r="HR144" s="33"/>
      <c r="HS144" s="33"/>
      <c r="HT144" s="33"/>
      <c r="HU144" s="33"/>
      <c r="HV144" s="33"/>
      <c r="HW144" s="33"/>
      <c r="HX144" s="33"/>
      <c r="HY144" s="33"/>
      <c r="HZ144" s="33"/>
      <c r="IA144" s="33"/>
      <c r="IB144" s="33"/>
      <c r="IC144" s="33"/>
      <c r="ID144" s="33"/>
      <c r="IE144" s="33"/>
      <c r="IF144" s="33"/>
      <c r="IG144" s="33"/>
      <c r="IH144" s="33"/>
      <c r="II144" s="33"/>
      <c r="IJ144" s="33"/>
      <c r="IK144" s="33"/>
      <c r="IL144" s="33"/>
      <c r="IM144" s="33"/>
      <c r="IN144" s="33"/>
      <c r="IO144" s="33"/>
      <c r="IP144" s="33"/>
      <c r="IQ144" s="33"/>
      <c r="IR144" s="33"/>
      <c r="IS144" s="33"/>
      <c r="IT144" s="33"/>
      <c r="IU144" s="33"/>
      <c r="IV144" s="33"/>
      <c r="IW144" s="33"/>
      <c r="IX144" s="33"/>
      <c r="IY144" s="33"/>
      <c r="IZ144" s="33"/>
      <c r="JA144" s="33"/>
      <c r="JB144" s="33"/>
      <c r="JC144" s="33"/>
      <c r="JD144" s="33"/>
      <c r="JE144" s="33"/>
      <c r="JF144" s="33"/>
      <c r="JG144" s="33"/>
      <c r="JH144" s="33"/>
      <c r="JI144" s="33"/>
      <c r="JJ144" s="33"/>
      <c r="JK144" s="33"/>
      <c r="JL144" s="33"/>
      <c r="JM144" s="33"/>
      <c r="JN144" s="33"/>
      <c r="JO144" s="33"/>
      <c r="JP144" s="33"/>
      <c r="JQ144" s="33"/>
      <c r="JR144" s="33"/>
      <c r="JS144" s="33"/>
      <c r="JT144" s="33"/>
      <c r="JU144" s="33"/>
      <c r="JV144" s="33"/>
      <c r="JW144" s="33"/>
      <c r="JX144" s="33"/>
      <c r="JY144" s="33"/>
      <c r="JZ144" s="33"/>
      <c r="KA144" s="33"/>
      <c r="KB144" s="33"/>
      <c r="KC144" s="33"/>
      <c r="KD144" s="33"/>
      <c r="KE144" s="33"/>
      <c r="KF144" s="33"/>
      <c r="KG144" s="33"/>
      <c r="KH144" s="33"/>
      <c r="KI144" s="33"/>
      <c r="KJ144" s="33"/>
      <c r="KK144" s="33"/>
      <c r="KL144" s="33"/>
    </row>
    <row r="145" spans="1:298" s="53" customFormat="1">
      <c r="A145" s="54"/>
      <c r="B145" s="51">
        <v>876</v>
      </c>
      <c r="C145" s="52">
        <v>60.766878630000001</v>
      </c>
      <c r="D145" s="52">
        <v>11.363456879999999</v>
      </c>
      <c r="E145" s="53">
        <f t="shared" si="20"/>
        <v>0.6818074127999999</v>
      </c>
      <c r="F145" s="53">
        <f t="shared" si="21"/>
        <v>0.6818074127999999</v>
      </c>
      <c r="G145" s="53">
        <f t="shared" si="22"/>
        <v>0.6818074127999999</v>
      </c>
      <c r="H145" s="52">
        <v>0.51272702699999995</v>
      </c>
      <c r="I145" s="52">
        <v>0.391205686</v>
      </c>
      <c r="J145" s="52">
        <v>0.45196635699999999</v>
      </c>
      <c r="K145" s="53">
        <v>36</v>
      </c>
      <c r="L145" s="53">
        <v>1</v>
      </c>
      <c r="M145" s="53">
        <f t="shared" si="23"/>
        <v>60.766878630000001</v>
      </c>
      <c r="N145" s="53">
        <f t="shared" si="26"/>
        <v>690.52180504419846</v>
      </c>
      <c r="O145">
        <f t="shared" si="24"/>
        <v>41.431308302651814</v>
      </c>
      <c r="P145">
        <f t="shared" si="25"/>
        <v>41.431308302651928</v>
      </c>
      <c r="R145" s="33">
        <f>N145+Qy!R178</f>
        <v>918.77413288188745</v>
      </c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79"/>
      <c r="AN145" s="33"/>
      <c r="AO145" s="33"/>
      <c r="AP145" s="33"/>
      <c r="AQ145" s="33"/>
      <c r="AR145" s="33"/>
      <c r="AS145" s="78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  <c r="FQ145" s="33"/>
      <c r="FR145" s="33"/>
      <c r="FS145" s="33"/>
      <c r="FT145" s="33"/>
      <c r="FU145" s="33"/>
      <c r="FV145" s="33"/>
      <c r="FW145" s="33"/>
      <c r="FX145" s="33"/>
      <c r="FY145" s="33"/>
      <c r="FZ145" s="33"/>
      <c r="GA145" s="33"/>
      <c r="GB145" s="33"/>
      <c r="GC145" s="33"/>
      <c r="GD145" s="33"/>
      <c r="GE145" s="33"/>
      <c r="GF145" s="33"/>
      <c r="GG145" s="33"/>
      <c r="GH145" s="33"/>
      <c r="GI145" s="33"/>
      <c r="GJ145" s="33"/>
      <c r="GK145" s="33"/>
      <c r="GL145" s="33"/>
      <c r="GM145" s="33"/>
      <c r="GN145" s="33"/>
      <c r="GO145" s="33"/>
      <c r="GP145" s="33"/>
      <c r="GQ145" s="33"/>
      <c r="GR145" s="33"/>
      <c r="GS145" s="33"/>
      <c r="GT145" s="33"/>
      <c r="GU145" s="33"/>
      <c r="GV145" s="33"/>
      <c r="GW145" s="33"/>
      <c r="GX145" s="33"/>
      <c r="GY145" s="33"/>
      <c r="GZ145" s="33"/>
      <c r="HA145" s="33"/>
      <c r="HB145" s="33"/>
      <c r="HC145" s="33"/>
      <c r="HD145" s="33"/>
      <c r="HE145" s="33"/>
      <c r="HF145" s="33"/>
      <c r="HG145" s="33"/>
      <c r="HH145" s="33"/>
      <c r="HI145" s="33"/>
      <c r="HJ145" s="33"/>
      <c r="HK145" s="33"/>
      <c r="HL145" s="33"/>
      <c r="HM145" s="33"/>
      <c r="HN145" s="33"/>
      <c r="HO145" s="33"/>
      <c r="HP145" s="33"/>
      <c r="HQ145" s="33"/>
      <c r="HR145" s="33"/>
      <c r="HS145" s="33"/>
      <c r="HT145" s="33"/>
      <c r="HU145" s="33"/>
      <c r="HV145" s="33"/>
      <c r="HW145" s="33"/>
      <c r="HX145" s="33"/>
      <c r="HY145" s="33"/>
      <c r="HZ145" s="33"/>
      <c r="IA145" s="33"/>
      <c r="IB145" s="33"/>
      <c r="IC145" s="33"/>
      <c r="ID145" s="33"/>
      <c r="IE145" s="33"/>
      <c r="IF145" s="33"/>
      <c r="IG145" s="33"/>
      <c r="IH145" s="33"/>
      <c r="II145" s="33"/>
      <c r="IJ145" s="33"/>
      <c r="IK145" s="33"/>
      <c r="IL145" s="33"/>
      <c r="IM145" s="33"/>
      <c r="IN145" s="33"/>
      <c r="IO145" s="33"/>
      <c r="IP145" s="33"/>
      <c r="IQ145" s="33"/>
      <c r="IR145" s="33"/>
      <c r="IS145" s="33"/>
      <c r="IT145" s="33"/>
      <c r="IU145" s="33"/>
      <c r="IV145" s="33"/>
      <c r="IW145" s="33"/>
      <c r="IX145" s="33"/>
      <c r="IY145" s="33"/>
      <c r="IZ145" s="33"/>
      <c r="JA145" s="33"/>
      <c r="JB145" s="33"/>
      <c r="JC145" s="33"/>
      <c r="JD145" s="33"/>
      <c r="JE145" s="33"/>
      <c r="JF145" s="33"/>
      <c r="JG145" s="33"/>
      <c r="JH145" s="33"/>
      <c r="JI145" s="33"/>
      <c r="JJ145" s="33"/>
      <c r="JK145" s="33"/>
      <c r="JL145" s="33"/>
      <c r="JM145" s="33"/>
      <c r="JN145" s="33"/>
      <c r="JO145" s="33"/>
      <c r="JP145" s="33"/>
      <c r="JQ145" s="33"/>
      <c r="JR145" s="33"/>
      <c r="JS145" s="33"/>
      <c r="JT145" s="33"/>
      <c r="JU145" s="33"/>
      <c r="JV145" s="33"/>
      <c r="JW145" s="33"/>
      <c r="JX145" s="33"/>
      <c r="JY145" s="33"/>
      <c r="JZ145" s="33"/>
      <c r="KA145" s="33"/>
      <c r="KB145" s="33"/>
      <c r="KC145" s="33"/>
      <c r="KD145" s="33"/>
      <c r="KE145" s="33"/>
      <c r="KF145" s="33"/>
      <c r="KG145" s="33"/>
      <c r="KH145" s="33"/>
      <c r="KI145" s="33"/>
      <c r="KJ145" s="33"/>
      <c r="KK145" s="33"/>
      <c r="KL145" s="33"/>
    </row>
    <row r="146" spans="1:298" s="53" customFormat="1">
      <c r="A146" s="54"/>
      <c r="B146" s="51">
        <v>876</v>
      </c>
      <c r="C146" s="52">
        <v>68.153741550000007</v>
      </c>
      <c r="D146" s="52">
        <v>11.84307557</v>
      </c>
      <c r="E146" s="53">
        <f t="shared" si="20"/>
        <v>0.71058453420000001</v>
      </c>
      <c r="F146" s="53">
        <f t="shared" si="21"/>
        <v>0.71058453420000001</v>
      </c>
      <c r="G146" s="53">
        <f t="shared" si="22"/>
        <v>0.71058453420000001</v>
      </c>
      <c r="H146" s="52">
        <v>0.50212869199999999</v>
      </c>
      <c r="I146" s="52">
        <v>0.37382011599999998</v>
      </c>
      <c r="J146" s="52">
        <v>0.43797440399999998</v>
      </c>
      <c r="K146" s="53">
        <v>36</v>
      </c>
      <c r="L146" s="53">
        <v>1</v>
      </c>
      <c r="M146" s="53">
        <f t="shared" si="23"/>
        <v>68.153741550000007</v>
      </c>
      <c r="N146" s="53">
        <f t="shared" si="26"/>
        <v>807.14991155489895</v>
      </c>
      <c r="O146">
        <f t="shared" si="24"/>
        <v>48.428994693294044</v>
      </c>
      <c r="P146">
        <f t="shared" si="25"/>
        <v>48.42899469329393</v>
      </c>
      <c r="R146" s="33">
        <f>N146+Qy!R179</f>
        <v>1051.7338332867089</v>
      </c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79"/>
      <c r="AN146" s="33"/>
      <c r="AO146" s="33"/>
      <c r="AP146" s="33"/>
      <c r="AQ146" s="33"/>
      <c r="AR146" s="33"/>
      <c r="AS146" s="78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  <c r="FP146" s="33"/>
      <c r="FQ146" s="33"/>
      <c r="FR146" s="33"/>
      <c r="FS146" s="33"/>
      <c r="FT146" s="33"/>
      <c r="FU146" s="33"/>
      <c r="FV146" s="33"/>
      <c r="FW146" s="33"/>
      <c r="FX146" s="33"/>
      <c r="FY146" s="33"/>
      <c r="FZ146" s="33"/>
      <c r="GA146" s="33"/>
      <c r="GB146" s="33"/>
      <c r="GC146" s="33"/>
      <c r="GD146" s="33"/>
      <c r="GE146" s="33"/>
      <c r="GF146" s="33"/>
      <c r="GG146" s="33"/>
      <c r="GH146" s="33"/>
      <c r="GI146" s="33"/>
      <c r="GJ146" s="33"/>
      <c r="GK146" s="33"/>
      <c r="GL146" s="33"/>
      <c r="GM146" s="33"/>
      <c r="GN146" s="33"/>
      <c r="GO146" s="33"/>
      <c r="GP146" s="33"/>
      <c r="GQ146" s="33"/>
      <c r="GR146" s="33"/>
      <c r="GS146" s="33"/>
      <c r="GT146" s="33"/>
      <c r="GU146" s="33"/>
      <c r="GV146" s="33"/>
      <c r="GW146" s="33"/>
      <c r="GX146" s="33"/>
      <c r="GY146" s="33"/>
      <c r="GZ146" s="33"/>
      <c r="HA146" s="33"/>
      <c r="HB146" s="33"/>
      <c r="HC146" s="33"/>
      <c r="HD146" s="33"/>
      <c r="HE146" s="33"/>
      <c r="HF146" s="33"/>
      <c r="HG146" s="33"/>
      <c r="HH146" s="33"/>
      <c r="HI146" s="33"/>
      <c r="HJ146" s="33"/>
      <c r="HK146" s="33"/>
      <c r="HL146" s="33"/>
      <c r="HM146" s="33"/>
      <c r="HN146" s="33"/>
      <c r="HO146" s="33"/>
      <c r="HP146" s="33"/>
      <c r="HQ146" s="33"/>
      <c r="HR146" s="33"/>
      <c r="HS146" s="33"/>
      <c r="HT146" s="33"/>
      <c r="HU146" s="33"/>
      <c r="HV146" s="33"/>
      <c r="HW146" s="33"/>
      <c r="HX146" s="33"/>
      <c r="HY146" s="33"/>
      <c r="HZ146" s="33"/>
      <c r="IA146" s="33"/>
      <c r="IB146" s="33"/>
      <c r="IC146" s="33"/>
      <c r="ID146" s="33"/>
      <c r="IE146" s="33"/>
      <c r="IF146" s="33"/>
      <c r="IG146" s="33"/>
      <c r="IH146" s="33"/>
      <c r="II146" s="33"/>
      <c r="IJ146" s="33"/>
      <c r="IK146" s="33"/>
      <c r="IL146" s="33"/>
      <c r="IM146" s="33"/>
      <c r="IN146" s="33"/>
      <c r="IO146" s="33"/>
      <c r="IP146" s="33"/>
      <c r="IQ146" s="33"/>
      <c r="IR146" s="33"/>
      <c r="IS146" s="33"/>
      <c r="IT146" s="33"/>
      <c r="IU146" s="33"/>
      <c r="IV146" s="33"/>
      <c r="IW146" s="33"/>
      <c r="IX146" s="33"/>
      <c r="IY146" s="33"/>
      <c r="IZ146" s="33"/>
      <c r="JA146" s="33"/>
      <c r="JB146" s="33"/>
      <c r="JC146" s="33"/>
      <c r="JD146" s="33"/>
      <c r="JE146" s="33"/>
      <c r="JF146" s="33"/>
      <c r="JG146" s="33"/>
      <c r="JH146" s="33"/>
      <c r="JI146" s="33"/>
      <c r="JJ146" s="33"/>
      <c r="JK146" s="33"/>
      <c r="JL146" s="33"/>
      <c r="JM146" s="33"/>
      <c r="JN146" s="33"/>
      <c r="JO146" s="33"/>
      <c r="JP146" s="33"/>
      <c r="JQ146" s="33"/>
      <c r="JR146" s="33"/>
      <c r="JS146" s="33"/>
      <c r="JT146" s="33"/>
      <c r="JU146" s="33"/>
      <c r="JV146" s="33"/>
      <c r="JW146" s="33"/>
      <c r="JX146" s="33"/>
      <c r="JY146" s="33"/>
      <c r="JZ146" s="33"/>
      <c r="KA146" s="33"/>
      <c r="KB146" s="33"/>
      <c r="KC146" s="33"/>
      <c r="KD146" s="33"/>
      <c r="KE146" s="33"/>
      <c r="KF146" s="33"/>
      <c r="KG146" s="33"/>
      <c r="KH146" s="33"/>
      <c r="KI146" s="33"/>
      <c r="KJ146" s="33"/>
      <c r="KK146" s="33"/>
      <c r="KL146" s="33"/>
    </row>
    <row r="147" spans="1:298" s="53" customFormat="1">
      <c r="A147" s="54"/>
      <c r="B147" s="51">
        <v>876</v>
      </c>
      <c r="C147" s="52">
        <v>77.224916190000002</v>
      </c>
      <c r="D147" s="52">
        <v>12.720019349999999</v>
      </c>
      <c r="E147" s="53">
        <f t="shared" si="20"/>
        <v>0.76320116099999991</v>
      </c>
      <c r="F147" s="53">
        <f t="shared" si="21"/>
        <v>0.76320116099999991</v>
      </c>
      <c r="G147" s="53">
        <f t="shared" si="22"/>
        <v>0.76320116099999991</v>
      </c>
      <c r="H147" s="52">
        <v>0.44429166599999997</v>
      </c>
      <c r="I147" s="52">
        <v>0.32653861699999998</v>
      </c>
      <c r="J147" s="52">
        <v>0.38541514199999999</v>
      </c>
      <c r="K147" s="53">
        <v>36</v>
      </c>
      <c r="L147" s="53">
        <v>1</v>
      </c>
      <c r="M147" s="53">
        <f t="shared" si="23"/>
        <v>77.224916190000002</v>
      </c>
      <c r="N147" s="53">
        <f t="shared" si="26"/>
        <v>982.3024282389282</v>
      </c>
      <c r="O147">
        <f t="shared" si="24"/>
        <v>58.938145694335731</v>
      </c>
      <c r="P147">
        <f t="shared" si="25"/>
        <v>58.938145694335617</v>
      </c>
      <c r="R147" s="33">
        <f>N147+Qy!R180</f>
        <v>1244.0746200706271</v>
      </c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79"/>
      <c r="AN147" s="33"/>
      <c r="AO147" s="33"/>
      <c r="AP147" s="33"/>
      <c r="AQ147" s="33"/>
      <c r="AR147" s="33"/>
      <c r="AS147" s="78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  <c r="FP147" s="33"/>
      <c r="FQ147" s="33"/>
      <c r="FR147" s="33"/>
      <c r="FS147" s="33"/>
      <c r="FT147" s="33"/>
      <c r="FU147" s="33"/>
      <c r="FV147" s="33"/>
      <c r="FW147" s="33"/>
      <c r="FX147" s="33"/>
      <c r="FY147" s="33"/>
      <c r="FZ147" s="33"/>
      <c r="GA147" s="33"/>
      <c r="GB147" s="33"/>
      <c r="GC147" s="33"/>
      <c r="GD147" s="33"/>
      <c r="GE147" s="33"/>
      <c r="GF147" s="33"/>
      <c r="GG147" s="33"/>
      <c r="GH147" s="33"/>
      <c r="GI147" s="33"/>
      <c r="GJ147" s="33"/>
      <c r="GK147" s="33"/>
      <c r="GL147" s="33"/>
      <c r="GM147" s="33"/>
      <c r="GN147" s="33"/>
      <c r="GO147" s="33"/>
      <c r="GP147" s="33"/>
      <c r="GQ147" s="33"/>
      <c r="GR147" s="33"/>
      <c r="GS147" s="33"/>
      <c r="GT147" s="33"/>
      <c r="GU147" s="33"/>
      <c r="GV147" s="33"/>
      <c r="GW147" s="33"/>
      <c r="GX147" s="33"/>
      <c r="GY147" s="33"/>
      <c r="GZ147" s="33"/>
      <c r="HA147" s="33"/>
      <c r="HB147" s="33"/>
      <c r="HC147" s="33"/>
      <c r="HD147" s="33"/>
      <c r="HE147" s="33"/>
      <c r="HF147" s="33"/>
      <c r="HG147" s="33"/>
      <c r="HH147" s="33"/>
      <c r="HI147" s="33"/>
      <c r="HJ147" s="33"/>
      <c r="HK147" s="33"/>
      <c r="HL147" s="33"/>
      <c r="HM147" s="33"/>
      <c r="HN147" s="33"/>
      <c r="HO147" s="33"/>
      <c r="HP147" s="33"/>
      <c r="HQ147" s="33"/>
      <c r="HR147" s="33"/>
      <c r="HS147" s="33"/>
      <c r="HT147" s="33"/>
      <c r="HU147" s="33"/>
      <c r="HV147" s="33"/>
      <c r="HW147" s="33"/>
      <c r="HX147" s="33"/>
      <c r="HY147" s="33"/>
      <c r="HZ147" s="33"/>
      <c r="IA147" s="33"/>
      <c r="IB147" s="33"/>
      <c r="IC147" s="33"/>
      <c r="ID147" s="33"/>
      <c r="IE147" s="33"/>
      <c r="IF147" s="33"/>
      <c r="IG147" s="33"/>
      <c r="IH147" s="33"/>
      <c r="II147" s="33"/>
      <c r="IJ147" s="33"/>
      <c r="IK147" s="33"/>
      <c r="IL147" s="33"/>
      <c r="IM147" s="33"/>
      <c r="IN147" s="33"/>
      <c r="IO147" s="33"/>
      <c r="IP147" s="33"/>
      <c r="IQ147" s="33"/>
      <c r="IR147" s="33"/>
      <c r="IS147" s="33"/>
      <c r="IT147" s="33"/>
      <c r="IU147" s="33"/>
      <c r="IV147" s="33"/>
      <c r="IW147" s="33"/>
      <c r="IX147" s="33"/>
      <c r="IY147" s="33"/>
      <c r="IZ147" s="33"/>
      <c r="JA147" s="33"/>
      <c r="JB147" s="33"/>
      <c r="JC147" s="33"/>
      <c r="JD147" s="33"/>
      <c r="JE147" s="33"/>
      <c r="JF147" s="33"/>
      <c r="JG147" s="33"/>
      <c r="JH147" s="33"/>
      <c r="JI147" s="33"/>
      <c r="JJ147" s="33"/>
      <c r="JK147" s="33"/>
      <c r="JL147" s="33"/>
      <c r="JM147" s="33"/>
      <c r="JN147" s="33"/>
      <c r="JO147" s="33"/>
      <c r="JP147" s="33"/>
      <c r="JQ147" s="33"/>
      <c r="JR147" s="33"/>
      <c r="JS147" s="33"/>
      <c r="JT147" s="33"/>
      <c r="JU147" s="33"/>
      <c r="JV147" s="33"/>
      <c r="JW147" s="33"/>
      <c r="JX147" s="33"/>
      <c r="JY147" s="33"/>
      <c r="JZ147" s="33"/>
      <c r="KA147" s="33"/>
      <c r="KB147" s="33"/>
      <c r="KC147" s="33"/>
      <c r="KD147" s="33"/>
      <c r="KE147" s="33"/>
      <c r="KF147" s="33"/>
      <c r="KG147" s="33"/>
      <c r="KH147" s="33"/>
      <c r="KI147" s="33"/>
      <c r="KJ147" s="33"/>
      <c r="KK147" s="33"/>
      <c r="KL147" s="33"/>
    </row>
    <row r="148" spans="1:298">
      <c r="A148" s="47" t="s">
        <v>10</v>
      </c>
      <c r="B148" s="4">
        <v>1000</v>
      </c>
      <c r="C148">
        <v>3.9</v>
      </c>
      <c r="D148">
        <f>1.3*0.073*64</f>
        <v>6.0735999999999999</v>
      </c>
      <c r="E148">
        <f>SQRT((0.38/1.3*D148)^2+(0.5*(F148+G148))^2)</f>
        <v>2.9734636458017265</v>
      </c>
      <c r="F148">
        <v>2.4621291598999999</v>
      </c>
      <c r="G148">
        <v>2.308440166</v>
      </c>
      <c r="H148">
        <v>0.9</v>
      </c>
      <c r="I148">
        <v>0.9</v>
      </c>
      <c r="J148">
        <v>0.9</v>
      </c>
      <c r="K148" s="49">
        <v>0</v>
      </c>
      <c r="L148">
        <v>1</v>
      </c>
      <c r="M148">
        <f t="shared" si="23"/>
        <v>3.9</v>
      </c>
      <c r="N148">
        <f t="shared" si="26"/>
        <v>23.68704</v>
      </c>
      <c r="O148">
        <f t="shared" si="24"/>
        <v>9.6023037236100031</v>
      </c>
      <c r="P148">
        <f t="shared" si="25"/>
        <v>9.0029166474000011</v>
      </c>
      <c r="R148" s="58">
        <f>N148+Qy!R181</f>
        <v>57.737588347200003</v>
      </c>
      <c r="AM148" s="79"/>
      <c r="AS148" s="78"/>
    </row>
    <row r="149" spans="1:298">
      <c r="A149" s="65" t="s">
        <v>77</v>
      </c>
      <c r="B149" s="4">
        <v>1000</v>
      </c>
      <c r="C149">
        <v>4.9000000000000004</v>
      </c>
      <c r="D149">
        <f>1.34*0.088*64</f>
        <v>7.5468799999999998</v>
      </c>
      <c r="E149">
        <f>SQRT((0.5/1.34*D149)^2+(0.5*(F149+G149))^2)</f>
        <v>3.7245357922808151</v>
      </c>
      <c r="F149">
        <v>2.3532513678</v>
      </c>
      <c r="G149">
        <v>2.5221197433999998</v>
      </c>
      <c r="H149">
        <v>0.9</v>
      </c>
      <c r="I149">
        <v>0.9</v>
      </c>
      <c r="J149">
        <v>0.9</v>
      </c>
      <c r="K149" s="49">
        <v>0</v>
      </c>
      <c r="L149">
        <v>1</v>
      </c>
      <c r="M149">
        <f t="shared" si="23"/>
        <v>4.9000000000000004</v>
      </c>
      <c r="N149">
        <f t="shared" si="26"/>
        <v>36.979711999999999</v>
      </c>
      <c r="O149">
        <f t="shared" si="24"/>
        <v>11.530931702220002</v>
      </c>
      <c r="P149">
        <f t="shared" si="25"/>
        <v>12.358386742659995</v>
      </c>
      <c r="R149" s="58">
        <f>N149+Qy!R182</f>
        <v>71.792368629200013</v>
      </c>
      <c r="AM149" s="79"/>
      <c r="AS149" s="78"/>
    </row>
    <row r="150" spans="1:298">
      <c r="B150" s="4">
        <v>1000</v>
      </c>
      <c r="C150">
        <v>6.4</v>
      </c>
      <c r="D150">
        <f>1.25*0.094*64</f>
        <v>7.52</v>
      </c>
      <c r="E150">
        <f>SQRT((0.45/1.25*D150)^2+(0.5*(F150+G150))^2)</f>
        <v>3.5521860712301332</v>
      </c>
      <c r="F150">
        <v>2.2699709249</v>
      </c>
      <c r="G150">
        <v>2.3296351646</v>
      </c>
      <c r="H150">
        <v>1.1000000000000001</v>
      </c>
      <c r="I150">
        <v>1.1000000000000001</v>
      </c>
      <c r="J150">
        <v>1.1000000000000001</v>
      </c>
      <c r="K150" s="49">
        <v>0</v>
      </c>
      <c r="L150">
        <v>1</v>
      </c>
      <c r="M150">
        <f t="shared" si="23"/>
        <v>6.4</v>
      </c>
      <c r="N150">
        <f t="shared" si="26"/>
        <v>48.128</v>
      </c>
      <c r="O150">
        <f t="shared" si="24"/>
        <v>14.527813919360007</v>
      </c>
      <c r="P150">
        <f t="shared" si="25"/>
        <v>14.909665053440001</v>
      </c>
      <c r="R150" s="58">
        <f>N150+Qy!R183</f>
        <v>87.652269420151995</v>
      </c>
      <c r="AM150" s="79"/>
      <c r="AS150" s="78"/>
    </row>
    <row r="151" spans="1:298">
      <c r="B151" s="4">
        <v>1000</v>
      </c>
      <c r="C151">
        <v>7.6</v>
      </c>
      <c r="D151">
        <f>1.06*0.105*64</f>
        <v>7.1231999999999998</v>
      </c>
      <c r="E151">
        <f>SQRT((0.3/1.06*D151)^2+(0.5*(F151+G151))^2)</f>
        <v>3.1248333569664291</v>
      </c>
      <c r="F151">
        <v>2.4454365663000002</v>
      </c>
      <c r="G151">
        <v>2.3296351646</v>
      </c>
      <c r="H151">
        <v>1.2</v>
      </c>
      <c r="I151">
        <v>1.2</v>
      </c>
      <c r="J151">
        <v>1.2</v>
      </c>
      <c r="K151" s="49">
        <v>0</v>
      </c>
      <c r="L151">
        <v>1</v>
      </c>
      <c r="M151">
        <f t="shared" si="23"/>
        <v>7.6</v>
      </c>
      <c r="N151">
        <f t="shared" si="26"/>
        <v>54.136319999999998</v>
      </c>
      <c r="O151">
        <f t="shared" si="24"/>
        <v>18.585317903879996</v>
      </c>
      <c r="P151">
        <f t="shared" si="25"/>
        <v>17.70522725096</v>
      </c>
      <c r="R151" s="58">
        <f>N151+Qy!R184</f>
        <v>93.047457199999997</v>
      </c>
      <c r="AM151" s="79"/>
      <c r="AS151" s="78"/>
    </row>
    <row r="152" spans="1:298">
      <c r="B152" s="4">
        <v>1000</v>
      </c>
      <c r="C152">
        <v>9.8000000000000007</v>
      </c>
      <c r="D152">
        <f>1.64*0.118*64</f>
        <v>12.385279999999998</v>
      </c>
      <c r="E152">
        <f>SQRT((0.5/1.64*D152)^2+(0.5*(F152+G152))^2)</f>
        <v>4.4024802816188418</v>
      </c>
      <c r="F152">
        <v>2.5358864327999999</v>
      </c>
      <c r="G152">
        <v>1.9912126958</v>
      </c>
      <c r="H152">
        <v>1.3</v>
      </c>
      <c r="I152">
        <v>1.3</v>
      </c>
      <c r="J152">
        <v>1.3</v>
      </c>
      <c r="K152" s="49">
        <v>0</v>
      </c>
      <c r="L152">
        <v>1</v>
      </c>
      <c r="M152">
        <f t="shared" si="23"/>
        <v>9.8000000000000007</v>
      </c>
      <c r="N152">
        <f t="shared" si="26"/>
        <v>121.37574399999998</v>
      </c>
      <c r="O152">
        <f t="shared" si="24"/>
        <v>24.851687041440002</v>
      </c>
      <c r="P152">
        <f t="shared" si="25"/>
        <v>19.513884418839993</v>
      </c>
      <c r="R152" s="58">
        <f>N152+Qy!R185</f>
        <v>174.44406063999998</v>
      </c>
      <c r="AM152" s="79"/>
      <c r="AS152" s="78"/>
    </row>
    <row r="153" spans="1:298">
      <c r="B153" s="4">
        <v>1000</v>
      </c>
      <c r="C153">
        <v>15.1</v>
      </c>
      <c r="D153">
        <f>1.02*0.123*64</f>
        <v>8.0294399999999992</v>
      </c>
      <c r="E153">
        <f>SQRT((0.2/1.02*D153)^2+(0.5*(F153+G153))^2)</f>
        <v>2.5437367969353537</v>
      </c>
      <c r="F153">
        <v>2.2726759558</v>
      </c>
      <c r="G153">
        <v>1.7232527383</v>
      </c>
      <c r="H153">
        <v>1.5</v>
      </c>
      <c r="I153">
        <v>1.5</v>
      </c>
      <c r="J153">
        <v>1.5</v>
      </c>
      <c r="K153" s="49">
        <v>0</v>
      </c>
      <c r="L153">
        <v>1</v>
      </c>
      <c r="M153">
        <f t="shared" si="23"/>
        <v>15.1</v>
      </c>
      <c r="N153">
        <f t="shared" si="26"/>
        <v>121.24454399999999</v>
      </c>
      <c r="O153">
        <f t="shared" si="24"/>
        <v>34.317406932580013</v>
      </c>
      <c r="P153">
        <f t="shared" si="25"/>
        <v>26.021116348330011</v>
      </c>
      <c r="R153" s="58">
        <f>N153+Qy!R186</f>
        <v>188.18877872927999</v>
      </c>
      <c r="AM153" s="79"/>
      <c r="AS153" s="78"/>
    </row>
    <row r="154" spans="1:298">
      <c r="B154" s="4">
        <v>1000</v>
      </c>
      <c r="C154">
        <v>25.7</v>
      </c>
      <c r="D154">
        <f>0.91*0.132*64</f>
        <v>7.6876800000000003</v>
      </c>
      <c r="E154">
        <f>SQRT((0.12/0.91*D154)^2+(0.5*(F154+G154))^2)</f>
        <v>1.7596107258433209</v>
      </c>
      <c r="F154">
        <v>1.6012794883999999</v>
      </c>
      <c r="G154">
        <v>1.2751909661</v>
      </c>
      <c r="H154">
        <v>2</v>
      </c>
      <c r="I154">
        <v>2</v>
      </c>
      <c r="J154">
        <v>2</v>
      </c>
      <c r="K154" s="49">
        <v>0</v>
      </c>
      <c r="L154">
        <v>1</v>
      </c>
      <c r="M154">
        <f t="shared" si="23"/>
        <v>25.7</v>
      </c>
      <c r="N154">
        <f t="shared" si="26"/>
        <v>197.573376</v>
      </c>
      <c r="O154">
        <f t="shared" si="24"/>
        <v>41.15288285187998</v>
      </c>
      <c r="P154">
        <f t="shared" si="25"/>
        <v>32.772407828770014</v>
      </c>
      <c r="R154" s="58">
        <f>N154+Qy!R187</f>
        <v>299.40371005999998</v>
      </c>
      <c r="AM154" s="79"/>
      <c r="AS154" s="78"/>
    </row>
    <row r="155" spans="1:298">
      <c r="B155" s="4">
        <v>1000</v>
      </c>
      <c r="C155">
        <v>57.7</v>
      </c>
      <c r="D155">
        <f>0.95*0.182*64</f>
        <v>11.0656</v>
      </c>
      <c r="E155">
        <f>SQRT((0.06/0.95*D155)^2+(0.5*(F155+G155))^2)</f>
        <v>0.92777352531679069</v>
      </c>
      <c r="F155">
        <v>0.63032689929999997</v>
      </c>
      <c r="G155">
        <v>0.59005084529999996</v>
      </c>
      <c r="H155">
        <v>3.2</v>
      </c>
      <c r="I155">
        <v>3.2</v>
      </c>
      <c r="J155">
        <v>3.2</v>
      </c>
      <c r="K155" s="49">
        <v>0</v>
      </c>
      <c r="L155">
        <v>1</v>
      </c>
      <c r="M155">
        <f t="shared" si="23"/>
        <v>57.7</v>
      </c>
      <c r="N155">
        <f t="shared" si="26"/>
        <v>638.48512000000005</v>
      </c>
      <c r="O155">
        <f t="shared" si="24"/>
        <v>36.369862089610024</v>
      </c>
      <c r="P155">
        <f t="shared" si="25"/>
        <v>34.04593377381002</v>
      </c>
      <c r="R155" s="58">
        <f>N155+Qy!R188</f>
        <v>823.69949120000001</v>
      </c>
      <c r="AK155" s="63"/>
      <c r="AM155" s="79"/>
      <c r="AS155" s="78"/>
    </row>
    <row r="156" spans="1:298">
      <c r="B156" s="4">
        <v>1000</v>
      </c>
      <c r="C156">
        <v>66.7</v>
      </c>
      <c r="D156">
        <f>1.11*0.178*64</f>
        <v>12.64512</v>
      </c>
      <c r="E156">
        <f>SQRT((0.09/1.11*D156)^2+(0.5*(F156+G156))^2)</f>
        <v>1.6138828687951745</v>
      </c>
      <c r="F156">
        <v>1.3178406579999999</v>
      </c>
      <c r="G156">
        <v>1.1748838239999999</v>
      </c>
      <c r="H156">
        <v>3.3</v>
      </c>
      <c r="I156">
        <v>3.3</v>
      </c>
      <c r="J156">
        <v>3.3</v>
      </c>
      <c r="K156" s="49">
        <v>0</v>
      </c>
      <c r="L156">
        <v>1</v>
      </c>
      <c r="M156">
        <f t="shared" si="23"/>
        <v>66.7</v>
      </c>
      <c r="N156">
        <f t="shared" si="26"/>
        <v>843.42950400000007</v>
      </c>
      <c r="O156">
        <f t="shared" si="24"/>
        <v>87.899971888600021</v>
      </c>
      <c r="P156">
        <f t="shared" si="25"/>
        <v>78.364751060800018</v>
      </c>
      <c r="R156" s="58">
        <f>N156+Qy!R189</f>
        <v>1036.7347613520001</v>
      </c>
      <c r="AH156" s="34"/>
      <c r="AK156" s="34"/>
      <c r="AM156" s="79"/>
      <c r="AS156" s="78"/>
    </row>
    <row r="157" spans="1:298" s="53" customFormat="1">
      <c r="A157" s="55" t="s">
        <v>19</v>
      </c>
      <c r="B157" s="51">
        <v>1020</v>
      </c>
      <c r="C157" s="51">
        <v>4.95</v>
      </c>
      <c r="D157" s="51">
        <v>9.3000000000000007</v>
      </c>
      <c r="E157" s="51">
        <v>0.5</v>
      </c>
      <c r="F157" s="51">
        <v>0.5</v>
      </c>
      <c r="G157" s="51">
        <v>0.5</v>
      </c>
      <c r="H157" s="51">
        <v>0.83</v>
      </c>
      <c r="I157" s="51">
        <v>0.83</v>
      </c>
      <c r="J157" s="51">
        <v>0.83</v>
      </c>
      <c r="K157" s="56">
        <v>0</v>
      </c>
      <c r="L157" s="53">
        <v>1</v>
      </c>
      <c r="M157" s="53">
        <f t="shared" si="23"/>
        <v>4.95</v>
      </c>
      <c r="N157" s="53">
        <f t="shared" si="26"/>
        <v>46.035000000000004</v>
      </c>
      <c r="O157">
        <f t="shared" si="24"/>
        <v>2.4750000000000014</v>
      </c>
      <c r="P157">
        <f t="shared" si="25"/>
        <v>2.4750000000000014</v>
      </c>
      <c r="R157" s="58">
        <f>N157+Qy!R190</f>
        <v>80.678191622920124</v>
      </c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79"/>
      <c r="AN157" s="33"/>
      <c r="AO157" s="33"/>
      <c r="AP157" s="33"/>
      <c r="AQ157" s="33"/>
      <c r="AR157" s="33"/>
      <c r="AS157" s="78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  <c r="FP157" s="33"/>
      <c r="FQ157" s="33"/>
      <c r="FR157" s="33"/>
      <c r="FS157" s="33"/>
      <c r="FT157" s="33"/>
      <c r="FU157" s="33"/>
      <c r="FV157" s="33"/>
      <c r="FW157" s="33"/>
      <c r="FX157" s="33"/>
      <c r="FY157" s="33"/>
      <c r="FZ157" s="33"/>
      <c r="GA157" s="33"/>
      <c r="GB157" s="33"/>
      <c r="GC157" s="33"/>
      <c r="GD157" s="33"/>
      <c r="GE157" s="33"/>
      <c r="GF157" s="33"/>
      <c r="GG157" s="33"/>
      <c r="GH157" s="33"/>
      <c r="GI157" s="33"/>
      <c r="GJ157" s="33"/>
      <c r="GK157" s="33"/>
      <c r="GL157" s="33"/>
      <c r="GM157" s="33"/>
      <c r="GN157" s="33"/>
      <c r="GO157" s="33"/>
      <c r="GP157" s="33"/>
      <c r="GQ157" s="33"/>
      <c r="GR157" s="33"/>
      <c r="GS157" s="33"/>
      <c r="GT157" s="33"/>
      <c r="GU157" s="33"/>
      <c r="GV157" s="33"/>
      <c r="GW157" s="33"/>
      <c r="GX157" s="33"/>
      <c r="GY157" s="33"/>
      <c r="GZ157" s="33"/>
      <c r="HA157" s="33"/>
      <c r="HB157" s="33"/>
      <c r="HC157" s="33"/>
      <c r="HD157" s="33"/>
      <c r="HE157" s="33"/>
      <c r="HF157" s="33"/>
      <c r="HG157" s="33"/>
      <c r="HH157" s="33"/>
      <c r="HI157" s="33"/>
      <c r="HJ157" s="33"/>
      <c r="HK157" s="33"/>
      <c r="HL157" s="33"/>
      <c r="HM157" s="33"/>
      <c r="HN157" s="33"/>
      <c r="HO157" s="33"/>
      <c r="HP157" s="33"/>
      <c r="HQ157" s="33"/>
      <c r="HR157" s="33"/>
      <c r="HS157" s="33"/>
      <c r="HT157" s="33"/>
      <c r="HU157" s="33"/>
      <c r="HV157" s="33"/>
      <c r="HW157" s="33"/>
      <c r="HX157" s="33"/>
      <c r="HY157" s="33"/>
      <c r="HZ157" s="33"/>
      <c r="IA157" s="33"/>
      <c r="IB157" s="33"/>
      <c r="IC157" s="33"/>
      <c r="ID157" s="33"/>
      <c r="IE157" s="33"/>
      <c r="IF157" s="33"/>
      <c r="IG157" s="33"/>
      <c r="IH157" s="33"/>
      <c r="II157" s="33"/>
      <c r="IJ157" s="33"/>
      <c r="IK157" s="33"/>
      <c r="IL157" s="33"/>
      <c r="IM157" s="33"/>
      <c r="IN157" s="33"/>
      <c r="IO157" s="33"/>
      <c r="IP157" s="33"/>
      <c r="IQ157" s="33"/>
      <c r="IR157" s="33"/>
      <c r="IS157" s="33"/>
      <c r="IT157" s="33"/>
      <c r="IU157" s="33"/>
      <c r="IV157" s="33"/>
      <c r="IW157" s="33"/>
      <c r="IX157" s="33"/>
      <c r="IY157" s="33"/>
      <c r="IZ157" s="33"/>
      <c r="JA157" s="33"/>
      <c r="JB157" s="33"/>
      <c r="JC157" s="33"/>
      <c r="JD157" s="33"/>
      <c r="JE157" s="33"/>
      <c r="JF157" s="33"/>
      <c r="JG157" s="33"/>
      <c r="JH157" s="33"/>
      <c r="JI157" s="33"/>
      <c r="JJ157" s="33"/>
      <c r="JK157" s="33"/>
      <c r="JL157" s="33"/>
      <c r="JM157" s="33"/>
      <c r="JN157" s="33"/>
      <c r="JO157" s="33"/>
      <c r="JP157" s="33"/>
      <c r="JQ157" s="33"/>
      <c r="JR157" s="33"/>
      <c r="JS157" s="33"/>
      <c r="JT157" s="33"/>
      <c r="JU157" s="33"/>
      <c r="JV157" s="33"/>
      <c r="JW157" s="33"/>
      <c r="JX157" s="33"/>
      <c r="JY157" s="33"/>
      <c r="JZ157" s="33"/>
      <c r="KA157" s="33"/>
      <c r="KB157" s="33"/>
      <c r="KC157" s="33"/>
      <c r="KD157" s="33"/>
      <c r="KE157" s="33"/>
      <c r="KF157" s="33"/>
      <c r="KG157" s="33"/>
      <c r="KH157" s="33"/>
      <c r="KI157" s="33"/>
      <c r="KJ157" s="33"/>
      <c r="KK157" s="33"/>
      <c r="KL157" s="33"/>
    </row>
    <row r="158" spans="1:298" s="53" customFormat="1">
      <c r="A158" s="65" t="s">
        <v>79</v>
      </c>
      <c r="B158" s="51">
        <v>1020</v>
      </c>
      <c r="C158" s="51">
        <v>6.6</v>
      </c>
      <c r="D158" s="51">
        <v>8.6</v>
      </c>
      <c r="E158" s="51">
        <v>0.3</v>
      </c>
      <c r="F158" s="51">
        <v>0.3</v>
      </c>
      <c r="G158" s="51">
        <v>0.3</v>
      </c>
      <c r="H158" s="51">
        <v>1.52</v>
      </c>
      <c r="I158" s="51">
        <v>1.52</v>
      </c>
      <c r="J158" s="51">
        <v>1.52</v>
      </c>
      <c r="K158" s="56">
        <v>0</v>
      </c>
      <c r="L158" s="53">
        <v>1</v>
      </c>
      <c r="M158" s="53">
        <f t="shared" si="23"/>
        <v>6.6</v>
      </c>
      <c r="N158" s="53">
        <f t="shared" si="26"/>
        <v>56.76</v>
      </c>
      <c r="O158">
        <f t="shared" si="24"/>
        <v>1.980000000000004</v>
      </c>
      <c r="P158">
        <f t="shared" si="25"/>
        <v>1.9800000000000111</v>
      </c>
      <c r="R158" s="58">
        <f>N158+Qy!R191</f>
        <v>96.352218997622998</v>
      </c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79"/>
      <c r="AN158" s="33"/>
      <c r="AO158" s="33"/>
      <c r="AP158" s="33"/>
      <c r="AQ158" s="33"/>
      <c r="AR158" s="33"/>
      <c r="AS158" s="78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  <c r="FP158" s="33"/>
      <c r="FQ158" s="33"/>
      <c r="FR158" s="33"/>
      <c r="FS158" s="33"/>
      <c r="FT158" s="33"/>
      <c r="FU158" s="33"/>
      <c r="FV158" s="33"/>
      <c r="FW158" s="33"/>
      <c r="FX158" s="33"/>
      <c r="FY158" s="33"/>
      <c r="FZ158" s="33"/>
      <c r="GA158" s="33"/>
      <c r="GB158" s="33"/>
      <c r="GC158" s="33"/>
      <c r="GD158" s="33"/>
      <c r="GE158" s="33"/>
      <c r="GF158" s="33"/>
      <c r="GG158" s="33"/>
      <c r="GH158" s="33"/>
      <c r="GI158" s="33"/>
      <c r="GJ158" s="33"/>
      <c r="GK158" s="33"/>
      <c r="GL158" s="33"/>
      <c r="GM158" s="33"/>
      <c r="GN158" s="33"/>
      <c r="GO158" s="33"/>
      <c r="GP158" s="33"/>
      <c r="GQ158" s="33"/>
      <c r="GR158" s="33"/>
      <c r="GS158" s="33"/>
      <c r="GT158" s="33"/>
      <c r="GU158" s="33"/>
      <c r="GV158" s="33"/>
      <c r="GW158" s="33"/>
      <c r="GX158" s="33"/>
      <c r="GY158" s="33"/>
      <c r="GZ158" s="33"/>
      <c r="HA158" s="33"/>
      <c r="HB158" s="33"/>
      <c r="HC158" s="33"/>
      <c r="HD158" s="33"/>
      <c r="HE158" s="33"/>
      <c r="HF158" s="33"/>
      <c r="HG158" s="33"/>
      <c r="HH158" s="33"/>
      <c r="HI158" s="33"/>
      <c r="HJ158" s="33"/>
      <c r="HK158" s="33"/>
      <c r="HL158" s="33"/>
      <c r="HM158" s="33"/>
      <c r="HN158" s="33"/>
      <c r="HO158" s="33"/>
      <c r="HP158" s="33"/>
      <c r="HQ158" s="33"/>
      <c r="HR158" s="33"/>
      <c r="HS158" s="33"/>
      <c r="HT158" s="33"/>
      <c r="HU158" s="33"/>
      <c r="HV158" s="33"/>
      <c r="HW158" s="33"/>
      <c r="HX158" s="33"/>
      <c r="HY158" s="33"/>
      <c r="HZ158" s="33"/>
      <c r="IA158" s="33"/>
      <c r="IB158" s="33"/>
      <c r="IC158" s="33"/>
      <c r="ID158" s="33"/>
      <c r="IE158" s="33"/>
      <c r="IF158" s="33"/>
      <c r="IG158" s="33"/>
      <c r="IH158" s="33"/>
      <c r="II158" s="33"/>
      <c r="IJ158" s="33"/>
      <c r="IK158" s="33"/>
      <c r="IL158" s="33"/>
      <c r="IM158" s="33"/>
      <c r="IN158" s="33"/>
      <c r="IO158" s="33"/>
      <c r="IP158" s="33"/>
      <c r="IQ158" s="33"/>
      <c r="IR158" s="33"/>
      <c r="IS158" s="33"/>
      <c r="IT158" s="33"/>
      <c r="IU158" s="33"/>
      <c r="IV158" s="33"/>
      <c r="IW158" s="33"/>
      <c r="IX158" s="33"/>
      <c r="IY158" s="33"/>
      <c r="IZ158" s="33"/>
      <c r="JA158" s="33"/>
      <c r="JB158" s="33"/>
      <c r="JC158" s="33"/>
      <c r="JD158" s="33"/>
      <c r="JE158" s="33"/>
      <c r="JF158" s="33"/>
      <c r="JG158" s="33"/>
      <c r="JH158" s="33"/>
      <c r="JI158" s="33"/>
      <c r="JJ158" s="33"/>
      <c r="JK158" s="33"/>
      <c r="JL158" s="33"/>
      <c r="JM158" s="33"/>
      <c r="JN158" s="33"/>
      <c r="JO158" s="33"/>
      <c r="JP158" s="33"/>
      <c r="JQ158" s="33"/>
      <c r="JR158" s="33"/>
      <c r="JS158" s="33"/>
      <c r="JT158" s="33"/>
      <c r="JU158" s="33"/>
      <c r="JV158" s="33"/>
      <c r="JW158" s="33"/>
      <c r="JX158" s="33"/>
      <c r="JY158" s="33"/>
      <c r="JZ158" s="33"/>
      <c r="KA158" s="33"/>
      <c r="KB158" s="33"/>
      <c r="KC158" s="33"/>
      <c r="KD158" s="33"/>
      <c r="KE158" s="33"/>
      <c r="KF158" s="33"/>
      <c r="KG158" s="33"/>
      <c r="KH158" s="33"/>
      <c r="KI158" s="33"/>
      <c r="KJ158" s="33"/>
      <c r="KK158" s="33"/>
      <c r="KL158" s="33"/>
    </row>
    <row r="159" spans="1:298" s="53" customFormat="1">
      <c r="A159" s="54"/>
      <c r="B159" s="51">
        <v>1020</v>
      </c>
      <c r="C159" s="51">
        <v>10.62</v>
      </c>
      <c r="D159" s="51">
        <v>8.8000000000000007</v>
      </c>
      <c r="E159" s="51">
        <v>0.3</v>
      </c>
      <c r="F159" s="51">
        <v>0.3</v>
      </c>
      <c r="G159" s="51">
        <v>0.3</v>
      </c>
      <c r="H159" s="51">
        <v>1.54</v>
      </c>
      <c r="I159" s="51">
        <v>1.54</v>
      </c>
      <c r="J159" s="51">
        <v>1.54</v>
      </c>
      <c r="K159" s="56">
        <v>0</v>
      </c>
      <c r="L159" s="53">
        <v>1</v>
      </c>
      <c r="M159" s="53">
        <f t="shared" si="23"/>
        <v>10.62</v>
      </c>
      <c r="N159" s="53">
        <f t="shared" si="26"/>
        <v>93.456000000000003</v>
      </c>
      <c r="O159">
        <f t="shared" si="24"/>
        <v>3.186000000000007</v>
      </c>
      <c r="P159">
        <f t="shared" si="25"/>
        <v>3.186000000000007</v>
      </c>
      <c r="R159" s="58">
        <f>N159+Qy!R192</f>
        <v>157.16347965981154</v>
      </c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79"/>
      <c r="AN159" s="33"/>
      <c r="AO159" s="33"/>
      <c r="AP159" s="33"/>
      <c r="AQ159" s="33"/>
      <c r="AR159" s="33"/>
      <c r="AS159" s="78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  <c r="FP159" s="33"/>
      <c r="FQ159" s="33"/>
      <c r="FR159" s="33"/>
      <c r="FS159" s="33"/>
      <c r="FT159" s="33"/>
      <c r="FU159" s="33"/>
      <c r="FV159" s="33"/>
      <c r="FW159" s="33"/>
      <c r="FX159" s="33"/>
      <c r="FY159" s="33"/>
      <c r="FZ159" s="33"/>
      <c r="GA159" s="33"/>
      <c r="GB159" s="33"/>
      <c r="GC159" s="33"/>
      <c r="GD159" s="33"/>
      <c r="GE159" s="33"/>
      <c r="GF159" s="33"/>
      <c r="GG159" s="33"/>
      <c r="GH159" s="33"/>
      <c r="GI159" s="33"/>
      <c r="GJ159" s="33"/>
      <c r="GK159" s="33"/>
      <c r="GL159" s="33"/>
      <c r="GM159" s="33"/>
      <c r="GN159" s="33"/>
      <c r="GO159" s="33"/>
      <c r="GP159" s="33"/>
      <c r="GQ159" s="33"/>
      <c r="GR159" s="33"/>
      <c r="GS159" s="33"/>
      <c r="GT159" s="33"/>
      <c r="GU159" s="33"/>
      <c r="GV159" s="33"/>
      <c r="GW159" s="33"/>
      <c r="GX159" s="33"/>
      <c r="GY159" s="33"/>
      <c r="GZ159" s="33"/>
      <c r="HA159" s="33"/>
      <c r="HB159" s="33"/>
      <c r="HC159" s="33"/>
      <c r="HD159" s="33"/>
      <c r="HE159" s="33"/>
      <c r="HF159" s="33"/>
      <c r="HG159" s="33"/>
      <c r="HH159" s="33"/>
      <c r="HI159" s="33"/>
      <c r="HJ159" s="33"/>
      <c r="HK159" s="33"/>
      <c r="HL159" s="33"/>
      <c r="HM159" s="33"/>
      <c r="HN159" s="33"/>
      <c r="HO159" s="33"/>
      <c r="HP159" s="33"/>
      <c r="HQ159" s="33"/>
      <c r="HR159" s="33"/>
      <c r="HS159" s="33"/>
      <c r="HT159" s="33"/>
      <c r="HU159" s="33"/>
      <c r="HV159" s="33"/>
      <c r="HW159" s="33"/>
      <c r="HX159" s="33"/>
      <c r="HY159" s="33"/>
      <c r="HZ159" s="33"/>
      <c r="IA159" s="33"/>
      <c r="IB159" s="33"/>
      <c r="IC159" s="33"/>
      <c r="ID159" s="33"/>
      <c r="IE159" s="33"/>
      <c r="IF159" s="33"/>
      <c r="IG159" s="33"/>
      <c r="IH159" s="33"/>
      <c r="II159" s="33"/>
      <c r="IJ159" s="33"/>
      <c r="IK159" s="33"/>
      <c r="IL159" s="33"/>
      <c r="IM159" s="33"/>
      <c r="IN159" s="33"/>
      <c r="IO159" s="33"/>
      <c r="IP159" s="33"/>
      <c r="IQ159" s="33"/>
      <c r="IR159" s="33"/>
      <c r="IS159" s="33"/>
      <c r="IT159" s="33"/>
      <c r="IU159" s="33"/>
      <c r="IV159" s="33"/>
      <c r="IW159" s="33"/>
      <c r="IX159" s="33"/>
      <c r="IY159" s="33"/>
      <c r="IZ159" s="33"/>
      <c r="JA159" s="33"/>
      <c r="JB159" s="33"/>
      <c r="JC159" s="33"/>
      <c r="JD159" s="33"/>
      <c r="JE159" s="33"/>
      <c r="JF159" s="33"/>
      <c r="JG159" s="33"/>
      <c r="JH159" s="33"/>
      <c r="JI159" s="33"/>
      <c r="JJ159" s="33"/>
      <c r="JK159" s="33"/>
      <c r="JL159" s="33"/>
      <c r="JM159" s="33"/>
      <c r="JN159" s="33"/>
      <c r="JO159" s="33"/>
      <c r="JP159" s="33"/>
      <c r="JQ159" s="33"/>
      <c r="JR159" s="33"/>
      <c r="JS159" s="33"/>
      <c r="JT159" s="33"/>
      <c r="JU159" s="33"/>
      <c r="JV159" s="33"/>
      <c r="JW159" s="33"/>
      <c r="JX159" s="33"/>
      <c r="JY159" s="33"/>
      <c r="JZ159" s="33"/>
      <c r="KA159" s="33"/>
      <c r="KB159" s="33"/>
      <c r="KC159" s="33"/>
      <c r="KD159" s="33"/>
      <c r="KE159" s="33"/>
      <c r="KF159" s="33"/>
      <c r="KG159" s="33"/>
      <c r="KH159" s="33"/>
      <c r="KI159" s="33"/>
      <c r="KJ159" s="33"/>
      <c r="KK159" s="33"/>
      <c r="KL159" s="33"/>
    </row>
    <row r="160" spans="1:298" s="53" customFormat="1">
      <c r="A160" s="54"/>
      <c r="B160" s="51">
        <v>1020</v>
      </c>
      <c r="C160" s="51">
        <v>13.95</v>
      </c>
      <c r="D160" s="51">
        <v>10</v>
      </c>
      <c r="E160" s="51">
        <v>0.3</v>
      </c>
      <c r="F160" s="51">
        <v>0.3</v>
      </c>
      <c r="G160" s="51">
        <v>0.3</v>
      </c>
      <c r="H160" s="51">
        <v>2.46</v>
      </c>
      <c r="I160" s="51">
        <v>2.46</v>
      </c>
      <c r="J160" s="51">
        <v>2.46</v>
      </c>
      <c r="K160" s="56">
        <v>0</v>
      </c>
      <c r="L160" s="53">
        <v>1</v>
      </c>
      <c r="M160" s="53">
        <f t="shared" si="23"/>
        <v>13.95</v>
      </c>
      <c r="N160" s="53">
        <f t="shared" si="26"/>
        <v>139.5</v>
      </c>
      <c r="O160">
        <f t="shared" si="24"/>
        <v>4.1850000000000023</v>
      </c>
      <c r="P160">
        <f t="shared" si="25"/>
        <v>4.1850000000000307</v>
      </c>
      <c r="R160" s="58">
        <f>N160+Qy!R193</f>
        <v>224.57827968693758</v>
      </c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79"/>
      <c r="AN160" s="33"/>
      <c r="AO160" s="33"/>
      <c r="AP160" s="33"/>
      <c r="AQ160" s="33"/>
      <c r="AR160" s="33"/>
      <c r="AS160" s="78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  <c r="FQ160" s="33"/>
      <c r="FR160" s="33"/>
      <c r="FS160" s="33"/>
      <c r="FT160" s="33"/>
      <c r="FU160" s="33"/>
      <c r="FV160" s="33"/>
      <c r="FW160" s="33"/>
      <c r="FX160" s="33"/>
      <c r="FY160" s="33"/>
      <c r="FZ160" s="33"/>
      <c r="GA160" s="33"/>
      <c r="GB160" s="33"/>
      <c r="GC160" s="33"/>
      <c r="GD160" s="33"/>
      <c r="GE160" s="33"/>
      <c r="GF160" s="33"/>
      <c r="GG160" s="33"/>
      <c r="GH160" s="33"/>
      <c r="GI160" s="33"/>
      <c r="GJ160" s="33"/>
      <c r="GK160" s="33"/>
      <c r="GL160" s="33"/>
      <c r="GM160" s="33"/>
      <c r="GN160" s="33"/>
      <c r="GO160" s="33"/>
      <c r="GP160" s="33"/>
      <c r="GQ160" s="33"/>
      <c r="GR160" s="33"/>
      <c r="GS160" s="33"/>
      <c r="GT160" s="33"/>
      <c r="GU160" s="33"/>
      <c r="GV160" s="33"/>
      <c r="GW160" s="33"/>
      <c r="GX160" s="33"/>
      <c r="GY160" s="33"/>
      <c r="GZ160" s="33"/>
      <c r="HA160" s="33"/>
      <c r="HB160" s="33"/>
      <c r="HC160" s="33"/>
      <c r="HD160" s="33"/>
      <c r="HE160" s="33"/>
      <c r="HF160" s="33"/>
      <c r="HG160" s="33"/>
      <c r="HH160" s="33"/>
      <c r="HI160" s="33"/>
      <c r="HJ160" s="33"/>
      <c r="HK160" s="33"/>
      <c r="HL160" s="33"/>
      <c r="HM160" s="33"/>
      <c r="HN160" s="33"/>
      <c r="HO160" s="33"/>
      <c r="HP160" s="33"/>
      <c r="HQ160" s="33"/>
      <c r="HR160" s="33"/>
      <c r="HS160" s="33"/>
      <c r="HT160" s="33"/>
      <c r="HU160" s="33"/>
      <c r="HV160" s="33"/>
      <c r="HW160" s="33"/>
      <c r="HX160" s="33"/>
      <c r="HY160" s="33"/>
      <c r="HZ160" s="33"/>
      <c r="IA160" s="33"/>
      <c r="IB160" s="33"/>
      <c r="IC160" s="33"/>
      <c r="ID160" s="33"/>
      <c r="IE160" s="33"/>
      <c r="IF160" s="33"/>
      <c r="IG160" s="33"/>
      <c r="IH160" s="33"/>
      <c r="II160" s="33"/>
      <c r="IJ160" s="33"/>
      <c r="IK160" s="33"/>
      <c r="IL160" s="33"/>
      <c r="IM160" s="33"/>
      <c r="IN160" s="33"/>
      <c r="IO160" s="33"/>
      <c r="IP160" s="33"/>
      <c r="IQ160" s="33"/>
      <c r="IR160" s="33"/>
      <c r="IS160" s="33"/>
      <c r="IT160" s="33"/>
      <c r="IU160" s="33"/>
      <c r="IV160" s="33"/>
      <c r="IW160" s="33"/>
      <c r="IX160" s="33"/>
      <c r="IY160" s="33"/>
      <c r="IZ160" s="33"/>
      <c r="JA160" s="33"/>
      <c r="JB160" s="33"/>
      <c r="JC160" s="33"/>
      <c r="JD160" s="33"/>
      <c r="JE160" s="33"/>
      <c r="JF160" s="33"/>
      <c r="JG160" s="33"/>
      <c r="JH160" s="33"/>
      <c r="JI160" s="33"/>
      <c r="JJ160" s="33"/>
      <c r="JK160" s="33"/>
      <c r="JL160" s="33"/>
      <c r="JM160" s="33"/>
      <c r="JN160" s="33"/>
      <c r="JO160" s="33"/>
      <c r="JP160" s="33"/>
      <c r="JQ160" s="33"/>
      <c r="JR160" s="33"/>
      <c r="JS160" s="33"/>
      <c r="JT160" s="33"/>
      <c r="JU160" s="33"/>
      <c r="JV160" s="33"/>
      <c r="JW160" s="33"/>
      <c r="JX160" s="33"/>
      <c r="JY160" s="33"/>
      <c r="JZ160" s="33"/>
      <c r="KA160" s="33"/>
      <c r="KB160" s="33"/>
      <c r="KC160" s="33"/>
      <c r="KD160" s="33"/>
      <c r="KE160" s="33"/>
      <c r="KF160" s="33"/>
      <c r="KG160" s="33"/>
      <c r="KH160" s="33"/>
      <c r="KI160" s="33"/>
      <c r="KJ160" s="33"/>
      <c r="KK160" s="33"/>
      <c r="KL160" s="33"/>
    </row>
    <row r="161" spans="1:298">
      <c r="A161" s="47" t="s">
        <v>10</v>
      </c>
      <c r="B161" s="4">
        <v>1500</v>
      </c>
      <c r="C161">
        <v>3.9</v>
      </c>
      <c r="D161">
        <f>1.88*0.073*64</f>
        <v>8.7833599999999983</v>
      </c>
      <c r="E161">
        <f>SQRT((0.78/1.88*D161)^2+(0.5*(F161+G161))^2)</f>
        <v>4.3553972297489114</v>
      </c>
      <c r="F161">
        <v>2.4621291598999999</v>
      </c>
      <c r="G161">
        <v>2.308440166</v>
      </c>
      <c r="H161">
        <v>0.9</v>
      </c>
      <c r="I161">
        <v>0.9</v>
      </c>
      <c r="J161">
        <v>0.9</v>
      </c>
      <c r="K161" s="49">
        <v>0</v>
      </c>
      <c r="L161">
        <v>1</v>
      </c>
      <c r="M161">
        <f t="shared" si="23"/>
        <v>3.9</v>
      </c>
      <c r="N161">
        <f t="shared" si="26"/>
        <v>34.255103999999996</v>
      </c>
      <c r="O161">
        <f t="shared" si="24"/>
        <v>9.6023037236099995</v>
      </c>
      <c r="P161">
        <f t="shared" si="25"/>
        <v>9.0029166474000064</v>
      </c>
      <c r="R161" s="58"/>
      <c r="AM161" s="79"/>
      <c r="AS161" s="78"/>
    </row>
    <row r="162" spans="1:298">
      <c r="A162" s="65" t="s">
        <v>77</v>
      </c>
      <c r="B162" s="4">
        <v>1500</v>
      </c>
      <c r="C162">
        <v>4.9000000000000004</v>
      </c>
      <c r="D162">
        <f>0.87*0.088*64</f>
        <v>4.8998399999999993</v>
      </c>
      <c r="E162">
        <f>SQRT((0.35/0.87*D162)^2+(0.5*(F162+G162))^2)</f>
        <v>3.1349545942454857</v>
      </c>
      <c r="F162">
        <v>2.3532513678</v>
      </c>
      <c r="G162">
        <v>2.5221197433999998</v>
      </c>
      <c r="H162">
        <v>0.9</v>
      </c>
      <c r="I162">
        <v>0.9</v>
      </c>
      <c r="J162">
        <v>0.9</v>
      </c>
      <c r="K162" s="49">
        <v>0</v>
      </c>
      <c r="L162">
        <v>1</v>
      </c>
      <c r="M162">
        <f t="shared" si="23"/>
        <v>4.9000000000000004</v>
      </c>
      <c r="N162">
        <f t="shared" si="26"/>
        <v>24.009215999999999</v>
      </c>
      <c r="O162">
        <f t="shared" si="24"/>
        <v>11.530931702220006</v>
      </c>
      <c r="P162">
        <f t="shared" si="25"/>
        <v>12.35838674266</v>
      </c>
      <c r="R162" s="58"/>
      <c r="AM162" s="79"/>
      <c r="AS162" s="78"/>
    </row>
    <row r="163" spans="1:298">
      <c r="B163" s="4">
        <v>1500</v>
      </c>
      <c r="C163">
        <v>5.7</v>
      </c>
      <c r="D163">
        <f>1.18*0.077*64</f>
        <v>5.8150399999999998</v>
      </c>
      <c r="E163">
        <f>SQRT((0.61/1.18*D163)^2+(0.5*(F163+G163))^2)</f>
        <v>3.8061591849592489</v>
      </c>
      <c r="F163">
        <v>2.4894272434000002</v>
      </c>
      <c r="G163">
        <v>2.1797614547999999</v>
      </c>
      <c r="H163">
        <v>1.1000000000000001</v>
      </c>
      <c r="I163">
        <v>1.1000000000000001</v>
      </c>
      <c r="J163">
        <v>1.1000000000000001</v>
      </c>
      <c r="K163" s="49">
        <v>0</v>
      </c>
      <c r="L163">
        <v>1</v>
      </c>
      <c r="M163">
        <f t="shared" si="23"/>
        <v>5.7</v>
      </c>
      <c r="N163">
        <f t="shared" si="26"/>
        <v>33.145727999999998</v>
      </c>
      <c r="O163">
        <f t="shared" si="24"/>
        <v>14.189735287380003</v>
      </c>
      <c r="P163">
        <f t="shared" si="25"/>
        <v>12.424640292359999</v>
      </c>
      <c r="R163" s="58"/>
      <c r="AM163" s="79"/>
      <c r="AS163" s="78"/>
    </row>
    <row r="164" spans="1:298">
      <c r="B164" s="4">
        <v>1500</v>
      </c>
      <c r="C164">
        <v>6.4</v>
      </c>
      <c r="D164">
        <f>0.93*0.094*64</f>
        <v>5.5948800000000007</v>
      </c>
      <c r="E164">
        <f>SQRT((0.38/0.93*D164)^2+(0.5*(F164+G164))^2)</f>
        <v>3.2427235175144626</v>
      </c>
      <c r="F164">
        <v>2.2699709249</v>
      </c>
      <c r="G164">
        <v>2.3296351646</v>
      </c>
      <c r="H164">
        <v>1.1000000000000001</v>
      </c>
      <c r="I164">
        <v>1.1000000000000001</v>
      </c>
      <c r="J164">
        <v>1.1000000000000001</v>
      </c>
      <c r="K164" s="49">
        <v>0</v>
      </c>
      <c r="L164">
        <v>1</v>
      </c>
      <c r="M164">
        <f t="shared" si="23"/>
        <v>6.4</v>
      </c>
      <c r="N164">
        <f t="shared" si="26"/>
        <v>35.807232000000006</v>
      </c>
      <c r="O164">
        <f t="shared" si="24"/>
        <v>14.52781391936</v>
      </c>
      <c r="P164">
        <f t="shared" si="25"/>
        <v>14.909665053440001</v>
      </c>
      <c r="R164" s="58"/>
      <c r="AM164" s="79"/>
      <c r="AS164" s="78"/>
    </row>
    <row r="165" spans="1:298">
      <c r="B165" s="4">
        <v>1500</v>
      </c>
      <c r="C165">
        <v>7.6</v>
      </c>
      <c r="D165">
        <f>0.79*0.105*64</f>
        <v>5.3087999999999997</v>
      </c>
      <c r="E165">
        <f>SQRT((0.28/0.79*D165)^2+(0.5*(F165+G165))^2)</f>
        <v>3.0398595475465773</v>
      </c>
      <c r="F165">
        <v>2.4454365663000002</v>
      </c>
      <c r="G165">
        <v>2.3296351646</v>
      </c>
      <c r="H165">
        <v>1.2</v>
      </c>
      <c r="I165">
        <v>1.2</v>
      </c>
      <c r="J165">
        <v>1.2</v>
      </c>
      <c r="K165" s="49">
        <v>0</v>
      </c>
      <c r="L165">
        <v>1</v>
      </c>
      <c r="M165">
        <f t="shared" si="23"/>
        <v>7.6</v>
      </c>
      <c r="N165">
        <f t="shared" si="26"/>
        <v>40.346879999999999</v>
      </c>
      <c r="O165">
        <f t="shared" si="24"/>
        <v>18.585317903879996</v>
      </c>
      <c r="P165">
        <f t="shared" si="25"/>
        <v>17.70522725096</v>
      </c>
      <c r="R165" s="58"/>
      <c r="AM165" s="79"/>
      <c r="AS165" s="78"/>
    </row>
    <row r="166" spans="1:298">
      <c r="B166" s="4">
        <v>1500</v>
      </c>
      <c r="C166">
        <v>9.8000000000000007</v>
      </c>
      <c r="D166">
        <f>0.98*0.118*64</f>
        <v>7.4009599999999995</v>
      </c>
      <c r="E166">
        <f>SQRT((0.18/0.98*D166)^2+(0.5*(F166+G166))^2)</f>
        <v>2.6403628992323611</v>
      </c>
      <c r="F166">
        <v>2.5358864327999999</v>
      </c>
      <c r="G166">
        <v>1.9912126958</v>
      </c>
      <c r="H166">
        <v>1.3</v>
      </c>
      <c r="I166">
        <v>1.3</v>
      </c>
      <c r="J166">
        <v>1.3</v>
      </c>
      <c r="K166" s="49">
        <v>0</v>
      </c>
      <c r="L166">
        <v>1</v>
      </c>
      <c r="M166">
        <f t="shared" si="23"/>
        <v>9.8000000000000007</v>
      </c>
      <c r="N166">
        <f t="shared" si="26"/>
        <v>72.529408000000004</v>
      </c>
      <c r="O166">
        <f t="shared" si="24"/>
        <v>24.851687041440002</v>
      </c>
      <c r="P166">
        <f t="shared" si="25"/>
        <v>19.51388441884</v>
      </c>
      <c r="AM166" s="79"/>
      <c r="AS166" s="78"/>
    </row>
    <row r="167" spans="1:298">
      <c r="B167" s="4">
        <v>1500</v>
      </c>
      <c r="C167">
        <v>15.1</v>
      </c>
      <c r="D167">
        <f>1.01*0.123*64</f>
        <v>7.9507199999999996</v>
      </c>
      <c r="E167">
        <f>SQRT((0.15/1.01*D167)^2+(0.5*(F167+G167))^2)</f>
        <v>2.3208080860086064</v>
      </c>
      <c r="F167">
        <v>2.2726759558</v>
      </c>
      <c r="G167">
        <v>1.7232527383</v>
      </c>
      <c r="H167">
        <v>1.5</v>
      </c>
      <c r="I167">
        <v>1.5</v>
      </c>
      <c r="J167">
        <v>1.5</v>
      </c>
      <c r="K167" s="49">
        <v>0</v>
      </c>
      <c r="L167">
        <v>1</v>
      </c>
      <c r="M167">
        <f t="shared" si="23"/>
        <v>15.1</v>
      </c>
      <c r="N167">
        <f t="shared" si="26"/>
        <v>120.05587199999999</v>
      </c>
      <c r="O167">
        <f t="shared" si="24"/>
        <v>34.317406932579985</v>
      </c>
      <c r="P167">
        <f t="shared" si="25"/>
        <v>26.021116348330011</v>
      </c>
      <c r="AM167" s="79"/>
      <c r="AS167" s="78"/>
    </row>
    <row r="168" spans="1:298">
      <c r="B168" s="4">
        <v>1500</v>
      </c>
      <c r="C168">
        <v>19.600000000000001</v>
      </c>
      <c r="D168">
        <f>1.03*0.157*64</f>
        <v>10.34944</v>
      </c>
      <c r="E168">
        <f>SQRT((0.13/1.03*D168)^2+(0.5*(F168+G168))^2)</f>
        <v>3.0867084034727661</v>
      </c>
      <c r="F168">
        <v>2.9881900877000001</v>
      </c>
      <c r="G168">
        <v>2.6052009519000001</v>
      </c>
      <c r="H168">
        <v>2.6</v>
      </c>
      <c r="I168">
        <v>2.6</v>
      </c>
      <c r="J168">
        <v>2.6</v>
      </c>
      <c r="K168" s="49">
        <v>0</v>
      </c>
      <c r="L168">
        <v>1</v>
      </c>
      <c r="M168">
        <f t="shared" si="23"/>
        <v>19.600000000000001</v>
      </c>
      <c r="N168">
        <f t="shared" si="26"/>
        <v>202.84902400000001</v>
      </c>
      <c r="O168">
        <f t="shared" si="24"/>
        <v>58.568525718919972</v>
      </c>
      <c r="P168">
        <f t="shared" si="25"/>
        <v>51.061938657240034</v>
      </c>
      <c r="AM168" s="79"/>
      <c r="AS168" s="78"/>
    </row>
    <row r="169" spans="1:298">
      <c r="B169" s="4">
        <v>1500</v>
      </c>
      <c r="C169">
        <v>25.7</v>
      </c>
      <c r="D169">
        <f>0.95*0.132*64</f>
        <v>8.0256000000000007</v>
      </c>
      <c r="E169">
        <f>SQRT((0.07/0.95*D169)^2+(0.5*(F169+G169))^2)</f>
        <v>1.5550650206672578</v>
      </c>
      <c r="F169">
        <v>1.6012794883999999</v>
      </c>
      <c r="G169">
        <v>1.2751909661</v>
      </c>
      <c r="H169">
        <v>2</v>
      </c>
      <c r="I169">
        <v>2</v>
      </c>
      <c r="J169">
        <v>2</v>
      </c>
      <c r="K169" s="49">
        <v>0</v>
      </c>
      <c r="L169">
        <v>1</v>
      </c>
      <c r="M169">
        <f t="shared" si="23"/>
        <v>25.7</v>
      </c>
      <c r="N169">
        <f t="shared" si="26"/>
        <v>206.25792000000001</v>
      </c>
      <c r="O169">
        <f t="shared" si="24"/>
        <v>41.15288285187998</v>
      </c>
      <c r="P169">
        <f t="shared" si="25"/>
        <v>32.772407828770014</v>
      </c>
      <c r="AM169" s="79"/>
      <c r="AS169" s="78"/>
    </row>
    <row r="170" spans="1:298">
      <c r="B170" s="4">
        <v>1500</v>
      </c>
      <c r="C170">
        <v>34.9</v>
      </c>
      <c r="D170">
        <f>1.3*0.133*64</f>
        <v>11.065600000000002</v>
      </c>
      <c r="E170">
        <f>SQRT((0.25/1.3*D170)^2+(0.5*(F170+G170))^2)</f>
        <v>3.2233024601285134</v>
      </c>
      <c r="F170">
        <v>2.8334007835000001</v>
      </c>
      <c r="G170">
        <v>2.0086214178000001</v>
      </c>
      <c r="H170">
        <v>2.1</v>
      </c>
      <c r="I170">
        <v>2.1</v>
      </c>
      <c r="J170">
        <v>2.1</v>
      </c>
      <c r="K170" s="49">
        <v>0</v>
      </c>
      <c r="L170">
        <v>1</v>
      </c>
      <c r="M170">
        <f t="shared" si="23"/>
        <v>34.9</v>
      </c>
      <c r="N170">
        <f t="shared" si="26"/>
        <v>386.18944000000005</v>
      </c>
      <c r="O170">
        <f t="shared" si="24"/>
        <v>98.885687344149972</v>
      </c>
      <c r="P170">
        <f t="shared" si="25"/>
        <v>70.100887481220013</v>
      </c>
      <c r="AM170" s="79"/>
      <c r="AS170" s="78"/>
    </row>
    <row r="171" spans="1:298">
      <c r="B171" s="4">
        <v>1500</v>
      </c>
      <c r="C171">
        <v>46.1</v>
      </c>
      <c r="D171">
        <f>0.82*0.158*64</f>
        <v>8.2918399999999988</v>
      </c>
      <c r="E171">
        <f>SQRT((0.08/0.82*D171)^2+(0.5*(F171+G171))^2)</f>
        <v>2.6639963882172135</v>
      </c>
      <c r="F171">
        <v>2.5148009862</v>
      </c>
      <c r="G171">
        <v>2.5615995002999998</v>
      </c>
      <c r="H171">
        <v>4.9000000000000004</v>
      </c>
      <c r="I171">
        <v>4.9000000000000004</v>
      </c>
      <c r="J171">
        <v>4.9000000000000004</v>
      </c>
      <c r="K171" s="49">
        <v>0</v>
      </c>
      <c r="L171">
        <v>1</v>
      </c>
      <c r="M171">
        <f t="shared" si="23"/>
        <v>46.1</v>
      </c>
      <c r="N171">
        <f t="shared" si="26"/>
        <v>382.25382399999995</v>
      </c>
      <c r="O171">
        <f t="shared" si="24"/>
        <v>115.93232546381995</v>
      </c>
      <c r="P171">
        <f t="shared" si="25"/>
        <v>118.08973696382998</v>
      </c>
      <c r="AM171" s="79"/>
      <c r="AS171" s="78"/>
    </row>
    <row r="172" spans="1:298">
      <c r="B172" s="4">
        <v>1500</v>
      </c>
      <c r="C172">
        <v>57.7</v>
      </c>
      <c r="D172">
        <f>0.93*0.182*64</f>
        <v>10.83264</v>
      </c>
      <c r="E172">
        <f>SQRT((0.04/0.93*D172)^2+(0.5*(F172+G172))^2)</f>
        <v>0.7677316629387807</v>
      </c>
      <c r="F172">
        <v>0.63032689929999997</v>
      </c>
      <c r="G172">
        <v>0.59005084529999996</v>
      </c>
      <c r="H172">
        <v>3.2</v>
      </c>
      <c r="I172">
        <v>3.2</v>
      </c>
      <c r="J172">
        <v>3.2</v>
      </c>
      <c r="K172" s="49">
        <v>0</v>
      </c>
      <c r="L172">
        <v>1</v>
      </c>
      <c r="M172">
        <f t="shared" si="23"/>
        <v>57.7</v>
      </c>
      <c r="N172">
        <f t="shared" si="26"/>
        <v>625.04332799999997</v>
      </c>
      <c r="O172">
        <f t="shared" si="24"/>
        <v>36.369862089610024</v>
      </c>
      <c r="P172">
        <f t="shared" si="25"/>
        <v>34.04593377381002</v>
      </c>
      <c r="AM172" s="79"/>
      <c r="AS172" s="78"/>
    </row>
    <row r="173" spans="1:298">
      <c r="B173" s="4">
        <v>1500</v>
      </c>
      <c r="C173">
        <v>66.7</v>
      </c>
      <c r="D173">
        <f>0.88*0.178*64</f>
        <v>10.02496</v>
      </c>
      <c r="E173">
        <f>SQRT((0.06/0.88*D173)^2+(0.5*(F173+G173))^2)</f>
        <v>1.4214845852806641</v>
      </c>
      <c r="F173">
        <v>1.3178406579999999</v>
      </c>
      <c r="G173">
        <v>1.1748838239999999</v>
      </c>
      <c r="H173">
        <v>3.3</v>
      </c>
      <c r="I173">
        <v>3.3</v>
      </c>
      <c r="J173">
        <v>3.3</v>
      </c>
      <c r="K173" s="49">
        <v>0</v>
      </c>
      <c r="L173">
        <v>1</v>
      </c>
      <c r="M173">
        <f t="shared" si="23"/>
        <v>66.7</v>
      </c>
      <c r="N173">
        <f t="shared" si="26"/>
        <v>668.66483200000005</v>
      </c>
      <c r="O173">
        <f t="shared" si="24"/>
        <v>87.899971888600021</v>
      </c>
      <c r="P173">
        <f t="shared" si="25"/>
        <v>78.364751060800018</v>
      </c>
      <c r="AM173" s="79"/>
      <c r="AS173" s="78"/>
    </row>
    <row r="174" spans="1:298" s="53" customFormat="1">
      <c r="A174" s="54" t="s">
        <v>25</v>
      </c>
      <c r="B174" s="51">
        <v>1951</v>
      </c>
      <c r="C174" s="52">
        <v>7.2261532129999999</v>
      </c>
      <c r="D174" s="52">
        <v>6.7985055120000002</v>
      </c>
      <c r="E174" s="53">
        <f>0.06*D174</f>
        <v>0.40791033071999999</v>
      </c>
      <c r="F174" s="53">
        <f>0.06*D174</f>
        <v>0.40791033071999999</v>
      </c>
      <c r="G174" s="53">
        <f>0.06*D174</f>
        <v>0.40791033071999999</v>
      </c>
      <c r="H174" s="52">
        <v>0.17264154600000001</v>
      </c>
      <c r="I174" s="52">
        <v>0.24063146899999999</v>
      </c>
      <c r="J174" s="52">
        <v>0.206636508</v>
      </c>
      <c r="K174" s="56">
        <v>86</v>
      </c>
      <c r="L174" s="53">
        <v>1</v>
      </c>
      <c r="M174" s="53">
        <f t="shared" si="23"/>
        <v>7.2261532129999999</v>
      </c>
      <c r="N174" s="53">
        <f t="shared" si="26"/>
        <v>49.127042449137008</v>
      </c>
      <c r="O174">
        <f t="shared" si="24"/>
        <v>2.9476225469482245</v>
      </c>
      <c r="P174">
        <f t="shared" si="25"/>
        <v>2.9476225469482173</v>
      </c>
      <c r="R174" s="33">
        <f>N174+Qy!R194</f>
        <v>96.08731384736268</v>
      </c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79"/>
      <c r="AN174" s="33"/>
      <c r="AO174" s="33"/>
      <c r="AP174" s="33"/>
      <c r="AQ174" s="33"/>
      <c r="AR174" s="33"/>
      <c r="AS174" s="78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33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  <c r="HU174" s="33"/>
      <c r="HV174" s="33"/>
      <c r="HW174" s="33"/>
      <c r="HX174" s="33"/>
      <c r="HY174" s="33"/>
      <c r="HZ174" s="33"/>
      <c r="IA174" s="33"/>
      <c r="IB174" s="33"/>
      <c r="IC174" s="33"/>
      <c r="ID174" s="33"/>
      <c r="IE174" s="33"/>
      <c r="IF174" s="33"/>
      <c r="IG174" s="33"/>
      <c r="IH174" s="33"/>
      <c r="II174" s="33"/>
      <c r="IJ174" s="33"/>
      <c r="IK174" s="33"/>
      <c r="IL174" s="33"/>
      <c r="IM174" s="33"/>
      <c r="IN174" s="33"/>
      <c r="IO174" s="33"/>
      <c r="IP174" s="33"/>
      <c r="IQ174" s="33"/>
      <c r="IR174" s="33"/>
      <c r="IS174" s="33"/>
      <c r="IT174" s="33"/>
      <c r="IU174" s="33"/>
      <c r="IV174" s="33"/>
      <c r="IW174" s="33"/>
      <c r="IX174" s="33"/>
      <c r="IY174" s="33"/>
      <c r="IZ174" s="33"/>
      <c r="JA174" s="33"/>
      <c r="JB174" s="33"/>
      <c r="JC174" s="33"/>
      <c r="JD174" s="33"/>
      <c r="JE174" s="33"/>
      <c r="JF174" s="33"/>
      <c r="JG174" s="33"/>
      <c r="JH174" s="33"/>
      <c r="JI174" s="33"/>
      <c r="JJ174" s="33"/>
      <c r="JK174" s="33"/>
      <c r="JL174" s="33"/>
      <c r="JM174" s="33"/>
      <c r="JN174" s="33"/>
      <c r="JO174" s="33"/>
      <c r="JP174" s="33"/>
      <c r="JQ174" s="33"/>
      <c r="JR174" s="33"/>
      <c r="JS174" s="33"/>
      <c r="JT174" s="33"/>
      <c r="JU174" s="33"/>
      <c r="JV174" s="33"/>
      <c r="JW174" s="33"/>
      <c r="JX174" s="33"/>
      <c r="JY174" s="33"/>
      <c r="JZ174" s="33"/>
      <c r="KA174" s="33"/>
      <c r="KB174" s="33"/>
      <c r="KC174" s="33"/>
      <c r="KD174" s="33"/>
      <c r="KE174" s="33"/>
      <c r="KF174" s="33"/>
      <c r="KG174" s="33"/>
      <c r="KH174" s="33"/>
      <c r="KI174" s="33"/>
      <c r="KJ174" s="33"/>
      <c r="KK174" s="33"/>
      <c r="KL174" s="33"/>
    </row>
    <row r="175" spans="1:298" s="53" customFormat="1">
      <c r="A175" s="66" t="s">
        <v>65</v>
      </c>
      <c r="B175" s="51">
        <v>1951</v>
      </c>
      <c r="C175" s="52">
        <v>9.7292153250000002</v>
      </c>
      <c r="D175" s="52">
        <v>7.5925630760000002</v>
      </c>
      <c r="E175" s="53">
        <f t="shared" ref="E175:E191" si="27">0.06*D175</f>
        <v>0.45555378456000001</v>
      </c>
      <c r="F175" s="53">
        <f t="shared" ref="F175:F191" si="28">0.06*D175</f>
        <v>0.45555378456000001</v>
      </c>
      <c r="G175" s="53">
        <f t="shared" ref="G175:G191" si="29">0.06*D175</f>
        <v>0.45555378456000001</v>
      </c>
      <c r="H175" s="52">
        <v>0.234007083</v>
      </c>
      <c r="I175" s="52">
        <v>0.22948606999999999</v>
      </c>
      <c r="J175" s="52">
        <v>0.23174657700000001</v>
      </c>
      <c r="K175" s="56">
        <v>86</v>
      </c>
      <c r="L175" s="53">
        <v>1</v>
      </c>
      <c r="M175" s="53">
        <f t="shared" si="23"/>
        <v>9.7292153250000002</v>
      </c>
      <c r="N175" s="53">
        <f t="shared" si="26"/>
        <v>73.869681035048345</v>
      </c>
      <c r="O175">
        <f t="shared" si="24"/>
        <v>4.4321808621028964</v>
      </c>
      <c r="P175">
        <f t="shared" si="25"/>
        <v>4.4321808621028964</v>
      </c>
      <c r="R175" s="33">
        <f>N175+Qy!R195</f>
        <v>133.20414213246465</v>
      </c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79"/>
      <c r="AN175" s="33"/>
      <c r="AO175" s="33"/>
      <c r="AP175" s="33"/>
      <c r="AQ175" s="33"/>
      <c r="AR175" s="33"/>
      <c r="AS175" s="78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33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  <c r="HU175" s="33"/>
      <c r="HV175" s="33"/>
      <c r="HW175" s="33"/>
      <c r="HX175" s="33"/>
      <c r="HY175" s="33"/>
      <c r="HZ175" s="33"/>
      <c r="IA175" s="33"/>
      <c r="IB175" s="33"/>
      <c r="IC175" s="33"/>
      <c r="ID175" s="33"/>
      <c r="IE175" s="33"/>
      <c r="IF175" s="33"/>
      <c r="IG175" s="33"/>
      <c r="IH175" s="33"/>
      <c r="II175" s="33"/>
      <c r="IJ175" s="33"/>
      <c r="IK175" s="33"/>
      <c r="IL175" s="33"/>
      <c r="IM175" s="33"/>
      <c r="IN175" s="33"/>
      <c r="IO175" s="33"/>
      <c r="IP175" s="33"/>
      <c r="IQ175" s="33"/>
      <c r="IR175" s="33"/>
      <c r="IS175" s="33"/>
      <c r="IT175" s="33"/>
      <c r="IU175" s="33"/>
      <c r="IV175" s="33"/>
      <c r="IW175" s="33"/>
      <c r="IX175" s="33"/>
      <c r="IY175" s="33"/>
      <c r="IZ175" s="33"/>
      <c r="JA175" s="33"/>
      <c r="JB175" s="33"/>
      <c r="JC175" s="33"/>
      <c r="JD175" s="33"/>
      <c r="JE175" s="33"/>
      <c r="JF175" s="33"/>
      <c r="JG175" s="33"/>
      <c r="JH175" s="33"/>
      <c r="JI175" s="33"/>
      <c r="JJ175" s="33"/>
      <c r="JK175" s="33"/>
      <c r="JL175" s="33"/>
      <c r="JM175" s="33"/>
      <c r="JN175" s="33"/>
      <c r="JO175" s="33"/>
      <c r="JP175" s="33"/>
      <c r="JQ175" s="33"/>
      <c r="JR175" s="33"/>
      <c r="JS175" s="33"/>
      <c r="JT175" s="33"/>
      <c r="JU175" s="33"/>
      <c r="JV175" s="33"/>
      <c r="JW175" s="33"/>
      <c r="JX175" s="33"/>
      <c r="JY175" s="33"/>
      <c r="JZ175" s="33"/>
      <c r="KA175" s="33"/>
      <c r="KB175" s="33"/>
      <c r="KC175" s="33"/>
      <c r="KD175" s="33"/>
      <c r="KE175" s="33"/>
      <c r="KF175" s="33"/>
      <c r="KG175" s="33"/>
      <c r="KH175" s="33"/>
      <c r="KI175" s="33"/>
      <c r="KJ175" s="33"/>
      <c r="KK175" s="33"/>
      <c r="KL175" s="33"/>
    </row>
    <row r="176" spans="1:298" s="53" customFormat="1">
      <c r="A176" s="54"/>
      <c r="B176" s="51">
        <v>1951</v>
      </c>
      <c r="C176" s="52">
        <v>12.292660720000001</v>
      </c>
      <c r="D176" s="52">
        <v>7.9626807719999997</v>
      </c>
      <c r="E176" s="53">
        <f t="shared" si="27"/>
        <v>0.47776084631999999</v>
      </c>
      <c r="F176" s="53">
        <f t="shared" si="28"/>
        <v>0.47776084631999999</v>
      </c>
      <c r="G176" s="53">
        <f t="shared" si="29"/>
        <v>0.47776084631999999</v>
      </c>
      <c r="H176" s="52">
        <v>0.273496925</v>
      </c>
      <c r="I176" s="52">
        <v>0.32144856900000002</v>
      </c>
      <c r="J176" s="52">
        <v>0.29747274699999998</v>
      </c>
      <c r="K176" s="56">
        <v>86</v>
      </c>
      <c r="L176" s="53">
        <v>1</v>
      </c>
      <c r="M176" s="53">
        <f t="shared" si="23"/>
        <v>12.292660720000001</v>
      </c>
      <c r="N176" s="53">
        <f t="shared" si="26"/>
        <v>97.882533151863683</v>
      </c>
      <c r="O176">
        <f t="shared" si="24"/>
        <v>5.8729519891118116</v>
      </c>
      <c r="P176">
        <f t="shared" si="25"/>
        <v>5.8729519891118258</v>
      </c>
      <c r="R176" s="33">
        <f>N176+Qy!R196</f>
        <v>171.76556150549311</v>
      </c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79"/>
      <c r="AN176" s="33"/>
      <c r="AO176" s="33"/>
      <c r="AP176" s="33"/>
      <c r="AQ176" s="33"/>
      <c r="AR176" s="33"/>
      <c r="AS176" s="78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33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  <c r="HU176" s="33"/>
      <c r="HV176" s="33"/>
      <c r="HW176" s="33"/>
      <c r="HX176" s="33"/>
      <c r="HY176" s="33"/>
      <c r="HZ176" s="33"/>
      <c r="IA176" s="33"/>
      <c r="IB176" s="33"/>
      <c r="IC176" s="33"/>
      <c r="ID176" s="33"/>
      <c r="IE176" s="33"/>
      <c r="IF176" s="33"/>
      <c r="IG176" s="33"/>
      <c r="IH176" s="33"/>
      <c r="II176" s="33"/>
      <c r="IJ176" s="33"/>
      <c r="IK176" s="33"/>
      <c r="IL176" s="33"/>
      <c r="IM176" s="33"/>
      <c r="IN176" s="33"/>
      <c r="IO176" s="33"/>
      <c r="IP176" s="33"/>
      <c r="IQ176" s="33"/>
      <c r="IR176" s="33"/>
      <c r="IS176" s="33"/>
      <c r="IT176" s="33"/>
      <c r="IU176" s="33"/>
      <c r="IV176" s="33"/>
      <c r="IW176" s="33"/>
      <c r="IX176" s="33"/>
      <c r="IY176" s="33"/>
      <c r="IZ176" s="33"/>
      <c r="JA176" s="33"/>
      <c r="JB176" s="33"/>
      <c r="JC176" s="33"/>
      <c r="JD176" s="33"/>
      <c r="JE176" s="33"/>
      <c r="JF176" s="33"/>
      <c r="JG176" s="33"/>
      <c r="JH176" s="33"/>
      <c r="JI176" s="33"/>
      <c r="JJ176" s="33"/>
      <c r="JK176" s="33"/>
      <c r="JL176" s="33"/>
      <c r="JM176" s="33"/>
      <c r="JN176" s="33"/>
      <c r="JO176" s="33"/>
      <c r="JP176" s="33"/>
      <c r="JQ176" s="33"/>
      <c r="JR176" s="33"/>
      <c r="JS176" s="33"/>
      <c r="JT176" s="33"/>
      <c r="JU176" s="33"/>
      <c r="JV176" s="33"/>
      <c r="JW176" s="33"/>
      <c r="JX176" s="33"/>
      <c r="JY176" s="33"/>
      <c r="JZ176" s="33"/>
      <c r="KA176" s="33"/>
      <c r="KB176" s="33"/>
      <c r="KC176" s="33"/>
      <c r="KD176" s="33"/>
      <c r="KE176" s="33"/>
      <c r="KF176" s="33"/>
      <c r="KG176" s="33"/>
      <c r="KH176" s="33"/>
      <c r="KI176" s="33"/>
      <c r="KJ176" s="33"/>
      <c r="KK176" s="33"/>
      <c r="KL176" s="33"/>
    </row>
    <row r="177" spans="1:298" s="53" customFormat="1">
      <c r="A177" s="54"/>
      <c r="B177" s="51">
        <v>1951</v>
      </c>
      <c r="C177" s="52">
        <v>14.604795169999999</v>
      </c>
      <c r="D177" s="52">
        <v>8.5254884769999997</v>
      </c>
      <c r="E177" s="53">
        <f t="shared" si="27"/>
        <v>0.51152930862000001</v>
      </c>
      <c r="F177" s="53">
        <f t="shared" si="28"/>
        <v>0.51152930862000001</v>
      </c>
      <c r="G177" s="53">
        <f t="shared" si="29"/>
        <v>0.51152930862000001</v>
      </c>
      <c r="H177" s="52">
        <v>0.29859004500000003</v>
      </c>
      <c r="I177" s="52">
        <v>0.30426218999999999</v>
      </c>
      <c r="J177" s="52">
        <v>0.30142611800000002</v>
      </c>
      <c r="K177" s="56">
        <v>86</v>
      </c>
      <c r="L177" s="53">
        <v>1</v>
      </c>
      <c r="M177" s="53">
        <f t="shared" si="23"/>
        <v>14.604795169999999</v>
      </c>
      <c r="N177" s="53">
        <f t="shared" si="26"/>
        <v>124.51301293078025</v>
      </c>
      <c r="O177">
        <f t="shared" si="24"/>
        <v>7.4707807758468192</v>
      </c>
      <c r="P177">
        <f t="shared" si="25"/>
        <v>7.4707807758468192</v>
      </c>
      <c r="R177" s="33">
        <f>N177+Qy!R197</f>
        <v>207.39165189197121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79"/>
      <c r="AN177" s="33"/>
      <c r="AO177" s="33"/>
      <c r="AP177" s="33"/>
      <c r="AQ177" s="33"/>
      <c r="AR177" s="33"/>
      <c r="AS177" s="78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33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  <c r="HU177" s="33"/>
      <c r="HV177" s="33"/>
      <c r="HW177" s="33"/>
      <c r="HX177" s="33"/>
      <c r="HY177" s="33"/>
      <c r="HZ177" s="33"/>
      <c r="IA177" s="33"/>
      <c r="IB177" s="33"/>
      <c r="IC177" s="33"/>
      <c r="ID177" s="33"/>
      <c r="IE177" s="33"/>
      <c r="IF177" s="33"/>
      <c r="IG177" s="33"/>
      <c r="IH177" s="33"/>
      <c r="II177" s="33"/>
      <c r="IJ177" s="33"/>
      <c r="IK177" s="33"/>
      <c r="IL177" s="33"/>
      <c r="IM177" s="33"/>
      <c r="IN177" s="33"/>
      <c r="IO177" s="33"/>
      <c r="IP177" s="33"/>
      <c r="IQ177" s="33"/>
      <c r="IR177" s="33"/>
      <c r="IS177" s="33"/>
      <c r="IT177" s="33"/>
      <c r="IU177" s="33"/>
      <c r="IV177" s="33"/>
      <c r="IW177" s="33"/>
      <c r="IX177" s="33"/>
      <c r="IY177" s="33"/>
      <c r="IZ177" s="33"/>
      <c r="JA177" s="33"/>
      <c r="JB177" s="33"/>
      <c r="JC177" s="33"/>
      <c r="JD177" s="33"/>
      <c r="JE177" s="33"/>
      <c r="JF177" s="33"/>
      <c r="JG177" s="33"/>
      <c r="JH177" s="33"/>
      <c r="JI177" s="33"/>
      <c r="JJ177" s="33"/>
      <c r="JK177" s="33"/>
      <c r="JL177" s="33"/>
      <c r="JM177" s="33"/>
      <c r="JN177" s="33"/>
      <c r="JO177" s="33"/>
      <c r="JP177" s="33"/>
      <c r="JQ177" s="33"/>
      <c r="JR177" s="33"/>
      <c r="JS177" s="33"/>
      <c r="JT177" s="33"/>
      <c r="JU177" s="33"/>
      <c r="JV177" s="33"/>
      <c r="JW177" s="33"/>
      <c r="JX177" s="33"/>
      <c r="JY177" s="33"/>
      <c r="JZ177" s="33"/>
      <c r="KA177" s="33"/>
      <c r="KB177" s="33"/>
      <c r="KC177" s="33"/>
      <c r="KD177" s="33"/>
      <c r="KE177" s="33"/>
      <c r="KF177" s="33"/>
      <c r="KG177" s="33"/>
      <c r="KH177" s="33"/>
      <c r="KI177" s="33"/>
      <c r="KJ177" s="33"/>
      <c r="KK177" s="33"/>
      <c r="KL177" s="33"/>
    </row>
    <row r="178" spans="1:298" s="53" customFormat="1">
      <c r="A178" s="54"/>
      <c r="B178" s="51">
        <v>1951</v>
      </c>
      <c r="C178" s="52">
        <v>17.229005870000002</v>
      </c>
      <c r="D178" s="52">
        <v>8.6768595069999996</v>
      </c>
      <c r="E178" s="53">
        <f t="shared" si="27"/>
        <v>0.52061157041999995</v>
      </c>
      <c r="F178" s="53">
        <f t="shared" si="28"/>
        <v>0.52061157041999995</v>
      </c>
      <c r="G178" s="53">
        <f t="shared" si="29"/>
        <v>0.52061157041999995</v>
      </c>
      <c r="H178" s="52">
        <v>0.50352016600000005</v>
      </c>
      <c r="I178" s="52">
        <v>0.34483102300000001</v>
      </c>
      <c r="J178" s="52">
        <v>0.42417559500000002</v>
      </c>
      <c r="K178" s="56">
        <v>86</v>
      </c>
      <c r="L178" s="53">
        <v>1</v>
      </c>
      <c r="M178" s="53">
        <f t="shared" si="23"/>
        <v>17.229005870000002</v>
      </c>
      <c r="N178" s="53">
        <f t="shared" si="26"/>
        <v>149.49366337926833</v>
      </c>
      <c r="O178">
        <f t="shared" si="24"/>
        <v>8.9696198027560854</v>
      </c>
      <c r="P178">
        <f t="shared" si="25"/>
        <v>8.9696198027561138</v>
      </c>
      <c r="R178" s="33">
        <f>N178+Qy!R198</f>
        <v>243.789889219119</v>
      </c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79"/>
      <c r="AN178" s="33"/>
      <c r="AO178" s="33"/>
      <c r="AP178" s="33"/>
      <c r="AQ178" s="33"/>
      <c r="AR178" s="33"/>
      <c r="AS178" s="78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33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  <c r="HU178" s="33"/>
      <c r="HV178" s="33"/>
      <c r="HW178" s="33"/>
      <c r="HX178" s="33"/>
      <c r="HY178" s="33"/>
      <c r="HZ178" s="33"/>
      <c r="IA178" s="33"/>
      <c r="IB178" s="33"/>
      <c r="IC178" s="33"/>
      <c r="ID178" s="33"/>
      <c r="IE178" s="33"/>
      <c r="IF178" s="33"/>
      <c r="IG178" s="33"/>
      <c r="IH178" s="33"/>
      <c r="II178" s="33"/>
      <c r="IJ178" s="33"/>
      <c r="IK178" s="33"/>
      <c r="IL178" s="33"/>
      <c r="IM178" s="33"/>
      <c r="IN178" s="33"/>
      <c r="IO178" s="33"/>
      <c r="IP178" s="33"/>
      <c r="IQ178" s="33"/>
      <c r="IR178" s="33"/>
      <c r="IS178" s="33"/>
      <c r="IT178" s="33"/>
      <c r="IU178" s="33"/>
      <c r="IV178" s="33"/>
      <c r="IW178" s="33"/>
      <c r="IX178" s="33"/>
      <c r="IY178" s="33"/>
      <c r="IZ178" s="33"/>
      <c r="JA178" s="33"/>
      <c r="JB178" s="33"/>
      <c r="JC178" s="33"/>
      <c r="JD178" s="33"/>
      <c r="JE178" s="33"/>
      <c r="JF178" s="33"/>
      <c r="JG178" s="33"/>
      <c r="JH178" s="33"/>
      <c r="JI178" s="33"/>
      <c r="JJ178" s="33"/>
      <c r="JK178" s="33"/>
      <c r="JL178" s="33"/>
      <c r="JM178" s="33"/>
      <c r="JN178" s="33"/>
      <c r="JO178" s="33"/>
      <c r="JP178" s="33"/>
      <c r="JQ178" s="33"/>
      <c r="JR178" s="33"/>
      <c r="JS178" s="33"/>
      <c r="JT178" s="33"/>
      <c r="JU178" s="33"/>
      <c r="JV178" s="33"/>
      <c r="JW178" s="33"/>
      <c r="JX178" s="33"/>
      <c r="JY178" s="33"/>
      <c r="JZ178" s="33"/>
      <c r="KA178" s="33"/>
      <c r="KB178" s="33"/>
      <c r="KC178" s="33"/>
      <c r="KD178" s="33"/>
      <c r="KE178" s="33"/>
      <c r="KF178" s="33"/>
      <c r="KG178" s="33"/>
      <c r="KH178" s="33"/>
      <c r="KI178" s="33"/>
      <c r="KJ178" s="33"/>
      <c r="KK178" s="33"/>
      <c r="KL178" s="33"/>
    </row>
    <row r="179" spans="1:298" s="53" customFormat="1">
      <c r="A179" s="54"/>
      <c r="B179" s="51">
        <v>1951</v>
      </c>
      <c r="C179" s="52">
        <v>19.614904599999999</v>
      </c>
      <c r="D179" s="52">
        <v>8.9888002999999994</v>
      </c>
      <c r="E179" s="53">
        <f t="shared" si="27"/>
        <v>0.53932801799999996</v>
      </c>
      <c r="F179" s="53">
        <f t="shared" si="28"/>
        <v>0.53932801799999996</v>
      </c>
      <c r="G179" s="53">
        <f t="shared" si="29"/>
        <v>0.53932801799999996</v>
      </c>
      <c r="H179" s="52">
        <v>0.16785602499999999</v>
      </c>
      <c r="I179" s="52">
        <v>0.29391602999999999</v>
      </c>
      <c r="J179" s="52">
        <v>0.23088602799999999</v>
      </c>
      <c r="K179" s="56">
        <v>86</v>
      </c>
      <c r="L179" s="53">
        <v>1</v>
      </c>
      <c r="M179" s="53">
        <f t="shared" si="23"/>
        <v>19.614904599999999</v>
      </c>
      <c r="N179" s="53">
        <f t="shared" si="26"/>
        <v>176.31446035295136</v>
      </c>
      <c r="O179">
        <f t="shared" si="24"/>
        <v>10.578867621177096</v>
      </c>
      <c r="P179">
        <f t="shared" si="25"/>
        <v>10.578867621177096</v>
      </c>
      <c r="R179" s="33">
        <f>N179+Qy!R199</f>
        <v>281.53379983137927</v>
      </c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79"/>
      <c r="AN179" s="33"/>
      <c r="AO179" s="33"/>
      <c r="AP179" s="33"/>
      <c r="AQ179" s="33"/>
      <c r="AR179" s="33"/>
      <c r="AS179" s="78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33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  <c r="HU179" s="33"/>
      <c r="HV179" s="33"/>
      <c r="HW179" s="33"/>
      <c r="HX179" s="33"/>
      <c r="HY179" s="33"/>
      <c r="HZ179" s="33"/>
      <c r="IA179" s="33"/>
      <c r="IB179" s="33"/>
      <c r="IC179" s="33"/>
      <c r="ID179" s="33"/>
      <c r="IE179" s="33"/>
      <c r="IF179" s="33"/>
      <c r="IG179" s="33"/>
      <c r="IH179" s="33"/>
      <c r="II179" s="33"/>
      <c r="IJ179" s="33"/>
      <c r="IK179" s="33"/>
      <c r="IL179" s="33"/>
      <c r="IM179" s="33"/>
      <c r="IN179" s="33"/>
      <c r="IO179" s="33"/>
      <c r="IP179" s="33"/>
      <c r="IQ179" s="33"/>
      <c r="IR179" s="33"/>
      <c r="IS179" s="33"/>
      <c r="IT179" s="33"/>
      <c r="IU179" s="33"/>
      <c r="IV179" s="33"/>
      <c r="IW179" s="33"/>
      <c r="IX179" s="33"/>
      <c r="IY179" s="33"/>
      <c r="IZ179" s="33"/>
      <c r="JA179" s="33"/>
      <c r="JB179" s="33"/>
      <c r="JC179" s="33"/>
      <c r="JD179" s="33"/>
      <c r="JE179" s="33"/>
      <c r="JF179" s="33"/>
      <c r="JG179" s="33"/>
      <c r="JH179" s="33"/>
      <c r="JI179" s="33"/>
      <c r="JJ179" s="33"/>
      <c r="JK179" s="33"/>
      <c r="JL179" s="33"/>
      <c r="JM179" s="33"/>
      <c r="JN179" s="33"/>
      <c r="JO179" s="33"/>
      <c r="JP179" s="33"/>
      <c r="JQ179" s="33"/>
      <c r="JR179" s="33"/>
      <c r="JS179" s="33"/>
      <c r="JT179" s="33"/>
      <c r="JU179" s="33"/>
      <c r="JV179" s="33"/>
      <c r="JW179" s="33"/>
      <c r="JX179" s="33"/>
      <c r="JY179" s="33"/>
      <c r="JZ179" s="33"/>
      <c r="KA179" s="33"/>
      <c r="KB179" s="33"/>
      <c r="KC179" s="33"/>
      <c r="KD179" s="33"/>
      <c r="KE179" s="33"/>
      <c r="KF179" s="33"/>
      <c r="KG179" s="33"/>
      <c r="KH179" s="33"/>
      <c r="KI179" s="33"/>
      <c r="KJ179" s="33"/>
      <c r="KK179" s="33"/>
      <c r="KL179" s="33"/>
    </row>
    <row r="180" spans="1:298" s="53" customFormat="1">
      <c r="A180" s="54"/>
      <c r="B180" s="51">
        <v>1951</v>
      </c>
      <c r="C180" s="52">
        <v>22.116258080000001</v>
      </c>
      <c r="D180" s="52">
        <v>9.2015249879999992</v>
      </c>
      <c r="E180" s="53">
        <f t="shared" si="27"/>
        <v>0.5520914992799999</v>
      </c>
      <c r="F180" s="53">
        <f t="shared" si="28"/>
        <v>0.5520914992799999</v>
      </c>
      <c r="G180" s="53">
        <f t="shared" si="29"/>
        <v>0.5520914992799999</v>
      </c>
      <c r="H180" s="52">
        <v>0.37942098400000002</v>
      </c>
      <c r="I180" s="52">
        <v>0.324932677</v>
      </c>
      <c r="J180" s="52">
        <v>0.35217683100000002</v>
      </c>
      <c r="K180" s="56">
        <v>86</v>
      </c>
      <c r="L180" s="53">
        <v>1</v>
      </c>
      <c r="M180" s="53">
        <f t="shared" si="23"/>
        <v>22.116258080000001</v>
      </c>
      <c r="N180" s="53">
        <f t="shared" si="26"/>
        <v>203.50330136417691</v>
      </c>
      <c r="O180">
        <f t="shared" si="24"/>
        <v>12.210198081850592</v>
      </c>
      <c r="P180">
        <f t="shared" si="25"/>
        <v>12.210198081850621</v>
      </c>
      <c r="R180" s="33">
        <f>N180+Qy!R200</f>
        <v>317.22026538943999</v>
      </c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79"/>
      <c r="AN180" s="33"/>
      <c r="AO180" s="33"/>
      <c r="AP180" s="33"/>
      <c r="AQ180" s="33"/>
      <c r="AR180" s="33"/>
      <c r="AS180" s="78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33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  <c r="HU180" s="33"/>
      <c r="HV180" s="33"/>
      <c r="HW180" s="33"/>
      <c r="HX180" s="33"/>
      <c r="HY180" s="33"/>
      <c r="HZ180" s="33"/>
      <c r="IA180" s="33"/>
      <c r="IB180" s="33"/>
      <c r="IC180" s="33"/>
      <c r="ID180" s="33"/>
      <c r="IE180" s="33"/>
      <c r="IF180" s="33"/>
      <c r="IG180" s="33"/>
      <c r="IH180" s="33"/>
      <c r="II180" s="33"/>
      <c r="IJ180" s="33"/>
      <c r="IK180" s="33"/>
      <c r="IL180" s="33"/>
      <c r="IM180" s="33"/>
      <c r="IN180" s="33"/>
      <c r="IO180" s="33"/>
      <c r="IP180" s="33"/>
      <c r="IQ180" s="33"/>
      <c r="IR180" s="33"/>
      <c r="IS180" s="33"/>
      <c r="IT180" s="33"/>
      <c r="IU180" s="33"/>
      <c r="IV180" s="33"/>
      <c r="IW180" s="33"/>
      <c r="IX180" s="33"/>
      <c r="IY180" s="33"/>
      <c r="IZ180" s="33"/>
      <c r="JA180" s="33"/>
      <c r="JB180" s="33"/>
      <c r="JC180" s="33"/>
      <c r="JD180" s="33"/>
      <c r="JE180" s="33"/>
      <c r="JF180" s="33"/>
      <c r="JG180" s="33"/>
      <c r="JH180" s="33"/>
      <c r="JI180" s="33"/>
      <c r="JJ180" s="33"/>
      <c r="JK180" s="33"/>
      <c r="JL180" s="33"/>
      <c r="JM180" s="33"/>
      <c r="JN180" s="33"/>
      <c r="JO180" s="33"/>
      <c r="JP180" s="33"/>
      <c r="JQ180" s="33"/>
      <c r="JR180" s="33"/>
      <c r="JS180" s="33"/>
      <c r="JT180" s="33"/>
      <c r="JU180" s="33"/>
      <c r="JV180" s="33"/>
      <c r="JW180" s="33"/>
      <c r="JX180" s="33"/>
      <c r="JY180" s="33"/>
      <c r="JZ180" s="33"/>
      <c r="KA180" s="33"/>
      <c r="KB180" s="33"/>
      <c r="KC180" s="33"/>
      <c r="KD180" s="33"/>
      <c r="KE180" s="33"/>
      <c r="KF180" s="33"/>
      <c r="KG180" s="33"/>
      <c r="KH180" s="33"/>
      <c r="KI180" s="33"/>
      <c r="KJ180" s="33"/>
      <c r="KK180" s="33"/>
      <c r="KL180" s="33"/>
    </row>
    <row r="181" spans="1:298" s="53" customFormat="1">
      <c r="A181" s="54"/>
      <c r="B181" s="51">
        <v>1951</v>
      </c>
      <c r="C181" s="52">
        <v>24.38159769</v>
      </c>
      <c r="D181" s="52">
        <v>9.4298979109999994</v>
      </c>
      <c r="E181" s="53">
        <f t="shared" si="27"/>
        <v>0.56579387465999997</v>
      </c>
      <c r="F181" s="53">
        <f t="shared" si="28"/>
        <v>0.56579387465999997</v>
      </c>
      <c r="G181" s="53">
        <f t="shared" si="29"/>
        <v>0.56579387465999997</v>
      </c>
      <c r="H181" s="52">
        <v>0.33487066599999998</v>
      </c>
      <c r="I181" s="52">
        <v>0.32434484699999999</v>
      </c>
      <c r="J181" s="52">
        <v>0.329607757</v>
      </c>
      <c r="K181" s="56">
        <v>86</v>
      </c>
      <c r="L181" s="53">
        <v>1</v>
      </c>
      <c r="M181" s="53">
        <f t="shared" si="23"/>
        <v>24.38159769</v>
      </c>
      <c r="N181" s="53">
        <f t="shared" si="26"/>
        <v>229.91597712377342</v>
      </c>
      <c r="O181">
        <f t="shared" si="24"/>
        <v>13.794958627426411</v>
      </c>
      <c r="P181">
        <f t="shared" si="25"/>
        <v>13.794958627426439</v>
      </c>
      <c r="R181" s="33">
        <f>N181+Qy!R201</f>
        <v>352.55474136618511</v>
      </c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79"/>
      <c r="AN181" s="33"/>
      <c r="AO181" s="33"/>
      <c r="AP181" s="33"/>
      <c r="AQ181" s="33"/>
      <c r="AR181" s="33"/>
      <c r="AS181" s="78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  <c r="FT181" s="33"/>
      <c r="FU181" s="33"/>
      <c r="FV181" s="33"/>
      <c r="FW181" s="33"/>
      <c r="FX181" s="33"/>
      <c r="FY181" s="33"/>
      <c r="FZ181" s="33"/>
      <c r="GA181" s="33"/>
      <c r="GB181" s="33"/>
      <c r="GC181" s="33"/>
      <c r="GD181" s="33"/>
      <c r="GE181" s="33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33"/>
      <c r="GR181" s="33"/>
      <c r="GS181" s="33"/>
      <c r="GT181" s="33"/>
      <c r="GU181" s="33"/>
      <c r="GV181" s="33"/>
      <c r="GW181" s="33"/>
      <c r="GX181" s="33"/>
      <c r="GY181" s="33"/>
      <c r="GZ181" s="33"/>
      <c r="HA181" s="33"/>
      <c r="HB181" s="33"/>
      <c r="HC181" s="33"/>
      <c r="HD181" s="33"/>
      <c r="HE181" s="33"/>
      <c r="HF181" s="33"/>
      <c r="HG181" s="33"/>
      <c r="HH181" s="33"/>
      <c r="HI181" s="33"/>
      <c r="HJ181" s="33"/>
      <c r="HK181" s="33"/>
      <c r="HL181" s="33"/>
      <c r="HM181" s="33"/>
      <c r="HN181" s="33"/>
      <c r="HO181" s="33"/>
      <c r="HP181" s="33"/>
      <c r="HQ181" s="33"/>
      <c r="HR181" s="33"/>
      <c r="HS181" s="33"/>
      <c r="HT181" s="33"/>
      <c r="HU181" s="33"/>
      <c r="HV181" s="33"/>
      <c r="HW181" s="33"/>
      <c r="HX181" s="33"/>
      <c r="HY181" s="33"/>
      <c r="HZ181" s="33"/>
      <c r="IA181" s="33"/>
      <c r="IB181" s="33"/>
      <c r="IC181" s="33"/>
      <c r="ID181" s="33"/>
      <c r="IE181" s="33"/>
      <c r="IF181" s="33"/>
      <c r="IG181" s="33"/>
      <c r="IH181" s="33"/>
      <c r="II181" s="33"/>
      <c r="IJ181" s="33"/>
      <c r="IK181" s="33"/>
      <c r="IL181" s="33"/>
      <c r="IM181" s="33"/>
      <c r="IN181" s="33"/>
      <c r="IO181" s="33"/>
      <c r="IP181" s="33"/>
      <c r="IQ181" s="33"/>
      <c r="IR181" s="33"/>
      <c r="IS181" s="33"/>
      <c r="IT181" s="33"/>
      <c r="IU181" s="33"/>
      <c r="IV181" s="33"/>
      <c r="IW181" s="33"/>
      <c r="IX181" s="33"/>
      <c r="IY181" s="33"/>
      <c r="IZ181" s="33"/>
      <c r="JA181" s="33"/>
      <c r="JB181" s="33"/>
      <c r="JC181" s="33"/>
      <c r="JD181" s="33"/>
      <c r="JE181" s="33"/>
      <c r="JF181" s="33"/>
      <c r="JG181" s="33"/>
      <c r="JH181" s="33"/>
      <c r="JI181" s="33"/>
      <c r="JJ181" s="33"/>
      <c r="JK181" s="33"/>
      <c r="JL181" s="33"/>
      <c r="JM181" s="33"/>
      <c r="JN181" s="33"/>
      <c r="JO181" s="33"/>
      <c r="JP181" s="33"/>
      <c r="JQ181" s="33"/>
      <c r="JR181" s="33"/>
      <c r="JS181" s="33"/>
      <c r="JT181" s="33"/>
      <c r="JU181" s="33"/>
      <c r="JV181" s="33"/>
      <c r="JW181" s="33"/>
      <c r="JX181" s="33"/>
      <c r="JY181" s="33"/>
      <c r="JZ181" s="33"/>
      <c r="KA181" s="33"/>
      <c r="KB181" s="33"/>
      <c r="KC181" s="33"/>
      <c r="KD181" s="33"/>
      <c r="KE181" s="33"/>
      <c r="KF181" s="33"/>
      <c r="KG181" s="33"/>
      <c r="KH181" s="33"/>
      <c r="KI181" s="33"/>
      <c r="KJ181" s="33"/>
      <c r="KK181" s="33"/>
      <c r="KL181" s="33"/>
    </row>
    <row r="182" spans="1:298" s="53" customFormat="1">
      <c r="A182" s="54"/>
      <c r="B182" s="51">
        <v>1951</v>
      </c>
      <c r="C182" s="52">
        <v>26.581474</v>
      </c>
      <c r="D182" s="52">
        <v>9.698282786</v>
      </c>
      <c r="E182" s="53">
        <f t="shared" si="27"/>
        <v>0.58189696715999994</v>
      </c>
      <c r="F182" s="53">
        <f t="shared" si="28"/>
        <v>0.58189696715999994</v>
      </c>
      <c r="G182" s="53">
        <f t="shared" si="29"/>
        <v>0.58189696715999994</v>
      </c>
      <c r="H182" s="52">
        <v>0.28772400300000001</v>
      </c>
      <c r="I182" s="52">
        <v>0.32111444500000003</v>
      </c>
      <c r="J182" s="52">
        <v>0.30441922399999999</v>
      </c>
      <c r="K182" s="56">
        <v>86</v>
      </c>
      <c r="L182" s="53">
        <v>1</v>
      </c>
      <c r="M182" s="53">
        <f t="shared" si="23"/>
        <v>26.581474</v>
      </c>
      <c r="N182" s="53">
        <f t="shared" si="26"/>
        <v>257.79465172070655</v>
      </c>
      <c r="O182">
        <f t="shared" si="24"/>
        <v>15.467679103242403</v>
      </c>
      <c r="P182">
        <f t="shared" si="25"/>
        <v>15.467679103242403</v>
      </c>
      <c r="R182" s="33">
        <f>N182+Qy!R202</f>
        <v>389.00637142211201</v>
      </c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79"/>
      <c r="AN182" s="33"/>
      <c r="AO182" s="33"/>
      <c r="AP182" s="33"/>
      <c r="AQ182" s="33"/>
      <c r="AR182" s="33"/>
      <c r="AS182" s="78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  <c r="FT182" s="33"/>
      <c r="FU182" s="33"/>
      <c r="FV182" s="33"/>
      <c r="FW182" s="33"/>
      <c r="FX182" s="33"/>
      <c r="FY182" s="33"/>
      <c r="FZ182" s="33"/>
      <c r="GA182" s="33"/>
      <c r="GB182" s="33"/>
      <c r="GC182" s="33"/>
      <c r="GD182" s="33"/>
      <c r="GE182" s="33"/>
      <c r="GF182" s="33"/>
      <c r="GG182" s="33"/>
      <c r="GH182" s="33"/>
      <c r="GI182" s="33"/>
      <c r="GJ182" s="33"/>
      <c r="GK182" s="33"/>
      <c r="GL182" s="33"/>
      <c r="GM182" s="33"/>
      <c r="GN182" s="33"/>
      <c r="GO182" s="33"/>
      <c r="GP182" s="33"/>
      <c r="GQ182" s="33"/>
      <c r="GR182" s="33"/>
      <c r="GS182" s="33"/>
      <c r="GT182" s="33"/>
      <c r="GU182" s="33"/>
      <c r="GV182" s="33"/>
      <c r="GW182" s="33"/>
      <c r="GX182" s="33"/>
      <c r="GY182" s="33"/>
      <c r="GZ182" s="33"/>
      <c r="HA182" s="33"/>
      <c r="HB182" s="33"/>
      <c r="HC182" s="33"/>
      <c r="HD182" s="33"/>
      <c r="HE182" s="33"/>
      <c r="HF182" s="33"/>
      <c r="HG182" s="33"/>
      <c r="HH182" s="33"/>
      <c r="HI182" s="33"/>
      <c r="HJ182" s="33"/>
      <c r="HK182" s="33"/>
      <c r="HL182" s="33"/>
      <c r="HM182" s="33"/>
      <c r="HN182" s="33"/>
      <c r="HO182" s="33"/>
      <c r="HP182" s="33"/>
      <c r="HQ182" s="33"/>
      <c r="HR182" s="33"/>
      <c r="HS182" s="33"/>
      <c r="HT182" s="33"/>
      <c r="HU182" s="33"/>
      <c r="HV182" s="33"/>
      <c r="HW182" s="33"/>
      <c r="HX182" s="33"/>
      <c r="HY182" s="33"/>
      <c r="HZ182" s="33"/>
      <c r="IA182" s="33"/>
      <c r="IB182" s="33"/>
      <c r="IC182" s="33"/>
      <c r="ID182" s="33"/>
      <c r="IE182" s="33"/>
      <c r="IF182" s="33"/>
      <c r="IG182" s="33"/>
      <c r="IH182" s="33"/>
      <c r="II182" s="33"/>
      <c r="IJ182" s="33"/>
      <c r="IK182" s="33"/>
      <c r="IL182" s="33"/>
      <c r="IM182" s="33"/>
      <c r="IN182" s="33"/>
      <c r="IO182" s="33"/>
      <c r="IP182" s="33"/>
      <c r="IQ182" s="33"/>
      <c r="IR182" s="33"/>
      <c r="IS182" s="33"/>
      <c r="IT182" s="33"/>
      <c r="IU182" s="33"/>
      <c r="IV182" s="33"/>
      <c r="IW182" s="33"/>
      <c r="IX182" s="33"/>
      <c r="IY182" s="33"/>
      <c r="IZ182" s="33"/>
      <c r="JA182" s="33"/>
      <c r="JB182" s="33"/>
      <c r="JC182" s="33"/>
      <c r="JD182" s="33"/>
      <c r="JE182" s="33"/>
      <c r="JF182" s="33"/>
      <c r="JG182" s="33"/>
      <c r="JH182" s="33"/>
      <c r="JI182" s="33"/>
      <c r="JJ182" s="33"/>
      <c r="JK182" s="33"/>
      <c r="JL182" s="33"/>
      <c r="JM182" s="33"/>
      <c r="JN182" s="33"/>
      <c r="JO182" s="33"/>
      <c r="JP182" s="33"/>
      <c r="JQ182" s="33"/>
      <c r="JR182" s="33"/>
      <c r="JS182" s="33"/>
      <c r="JT182" s="33"/>
      <c r="JU182" s="33"/>
      <c r="JV182" s="33"/>
      <c r="JW182" s="33"/>
      <c r="JX182" s="33"/>
      <c r="JY182" s="33"/>
      <c r="JZ182" s="33"/>
      <c r="KA182" s="33"/>
      <c r="KB182" s="33"/>
      <c r="KC182" s="33"/>
      <c r="KD182" s="33"/>
      <c r="KE182" s="33"/>
      <c r="KF182" s="33"/>
      <c r="KG182" s="33"/>
      <c r="KH182" s="33"/>
      <c r="KI182" s="33"/>
      <c r="KJ182" s="33"/>
      <c r="KK182" s="33"/>
      <c r="KL182" s="33"/>
    </row>
    <row r="183" spans="1:298" s="53" customFormat="1">
      <c r="A183" s="54"/>
      <c r="B183" s="51">
        <v>1951</v>
      </c>
      <c r="C183" s="52">
        <v>29.417808040000001</v>
      </c>
      <c r="D183" s="52">
        <v>9.7030754290000001</v>
      </c>
      <c r="E183" s="53">
        <f t="shared" si="27"/>
        <v>0.58218452574000001</v>
      </c>
      <c r="F183" s="53">
        <f t="shared" si="28"/>
        <v>0.58218452574000001</v>
      </c>
      <c r="G183" s="53">
        <f t="shared" si="29"/>
        <v>0.58218452574000001</v>
      </c>
      <c r="H183" s="52">
        <v>0.27780197400000001</v>
      </c>
      <c r="I183" s="52">
        <v>0.33001609199999998</v>
      </c>
      <c r="J183" s="52">
        <v>0.303909033</v>
      </c>
      <c r="K183" s="56">
        <v>86</v>
      </c>
      <c r="L183" s="53">
        <v>1</v>
      </c>
      <c r="M183" s="53">
        <f t="shared" si="23"/>
        <v>29.417808040000001</v>
      </c>
      <c r="N183" s="53">
        <f t="shared" si="26"/>
        <v>285.44321036796265</v>
      </c>
      <c r="O183">
        <f t="shared" si="24"/>
        <v>17.126592622077794</v>
      </c>
      <c r="P183">
        <f t="shared" si="25"/>
        <v>17.126592622077794</v>
      </c>
      <c r="R183" s="33">
        <f>N183+Qy!R203</f>
        <v>424.17336659036607</v>
      </c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79"/>
      <c r="AN183" s="33"/>
      <c r="AO183" s="33"/>
      <c r="AP183" s="33"/>
      <c r="AQ183" s="33"/>
      <c r="AR183" s="33"/>
      <c r="AS183" s="78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  <c r="FT183" s="33"/>
      <c r="FU183" s="33"/>
      <c r="FV183" s="33"/>
      <c r="FW183" s="33"/>
      <c r="FX183" s="33"/>
      <c r="FY183" s="33"/>
      <c r="FZ183" s="33"/>
      <c r="GA183" s="33"/>
      <c r="GB183" s="33"/>
      <c r="GC183" s="33"/>
      <c r="GD183" s="33"/>
      <c r="GE183" s="33"/>
      <c r="GF183" s="33"/>
      <c r="GG183" s="33"/>
      <c r="GH183" s="33"/>
      <c r="GI183" s="33"/>
      <c r="GJ183" s="33"/>
      <c r="GK183" s="33"/>
      <c r="GL183" s="33"/>
      <c r="GM183" s="33"/>
      <c r="GN183" s="33"/>
      <c r="GO183" s="33"/>
      <c r="GP183" s="33"/>
      <c r="GQ183" s="33"/>
      <c r="GR183" s="33"/>
      <c r="GS183" s="33"/>
      <c r="GT183" s="33"/>
      <c r="GU183" s="33"/>
      <c r="GV183" s="33"/>
      <c r="GW183" s="33"/>
      <c r="GX183" s="33"/>
      <c r="GY183" s="33"/>
      <c r="GZ183" s="33"/>
      <c r="HA183" s="33"/>
      <c r="HB183" s="33"/>
      <c r="HC183" s="33"/>
      <c r="HD183" s="33"/>
      <c r="HE183" s="33"/>
      <c r="HF183" s="33"/>
      <c r="HG183" s="33"/>
      <c r="HH183" s="33"/>
      <c r="HI183" s="33"/>
      <c r="HJ183" s="33"/>
      <c r="HK183" s="33"/>
      <c r="HL183" s="33"/>
      <c r="HM183" s="33"/>
      <c r="HN183" s="33"/>
      <c r="HO183" s="33"/>
      <c r="HP183" s="33"/>
      <c r="HQ183" s="33"/>
      <c r="HR183" s="33"/>
      <c r="HS183" s="33"/>
      <c r="HT183" s="33"/>
      <c r="HU183" s="33"/>
      <c r="HV183" s="33"/>
      <c r="HW183" s="33"/>
      <c r="HX183" s="33"/>
      <c r="HY183" s="33"/>
      <c r="HZ183" s="33"/>
      <c r="IA183" s="33"/>
      <c r="IB183" s="33"/>
      <c r="IC183" s="33"/>
      <c r="ID183" s="33"/>
      <c r="IE183" s="33"/>
      <c r="IF183" s="33"/>
      <c r="IG183" s="33"/>
      <c r="IH183" s="33"/>
      <c r="II183" s="33"/>
      <c r="IJ183" s="33"/>
      <c r="IK183" s="33"/>
      <c r="IL183" s="33"/>
      <c r="IM183" s="33"/>
      <c r="IN183" s="33"/>
      <c r="IO183" s="33"/>
      <c r="IP183" s="33"/>
      <c r="IQ183" s="33"/>
      <c r="IR183" s="33"/>
      <c r="IS183" s="33"/>
      <c r="IT183" s="33"/>
      <c r="IU183" s="33"/>
      <c r="IV183" s="33"/>
      <c r="IW183" s="33"/>
      <c r="IX183" s="33"/>
      <c r="IY183" s="33"/>
      <c r="IZ183" s="33"/>
      <c r="JA183" s="33"/>
      <c r="JB183" s="33"/>
      <c r="JC183" s="33"/>
      <c r="JD183" s="33"/>
      <c r="JE183" s="33"/>
      <c r="JF183" s="33"/>
      <c r="JG183" s="33"/>
      <c r="JH183" s="33"/>
      <c r="JI183" s="33"/>
      <c r="JJ183" s="33"/>
      <c r="JK183" s="33"/>
      <c r="JL183" s="33"/>
      <c r="JM183" s="33"/>
      <c r="JN183" s="33"/>
      <c r="JO183" s="33"/>
      <c r="JP183" s="33"/>
      <c r="JQ183" s="33"/>
      <c r="JR183" s="33"/>
      <c r="JS183" s="33"/>
      <c r="JT183" s="33"/>
      <c r="JU183" s="33"/>
      <c r="JV183" s="33"/>
      <c r="JW183" s="33"/>
      <c r="JX183" s="33"/>
      <c r="JY183" s="33"/>
      <c r="JZ183" s="33"/>
      <c r="KA183" s="33"/>
      <c r="KB183" s="33"/>
      <c r="KC183" s="33"/>
      <c r="KD183" s="33"/>
      <c r="KE183" s="33"/>
      <c r="KF183" s="33"/>
      <c r="KG183" s="33"/>
      <c r="KH183" s="33"/>
      <c r="KI183" s="33"/>
      <c r="KJ183" s="33"/>
      <c r="KK183" s="33"/>
      <c r="KL183" s="33"/>
    </row>
    <row r="184" spans="1:298" s="53" customFormat="1">
      <c r="A184" s="54"/>
      <c r="B184" s="51">
        <v>1951</v>
      </c>
      <c r="C184" s="52">
        <v>32.922489149999997</v>
      </c>
      <c r="D184" s="52">
        <v>9.8911122799999998</v>
      </c>
      <c r="E184" s="53">
        <f t="shared" si="27"/>
        <v>0.59346673679999995</v>
      </c>
      <c r="F184" s="53">
        <f t="shared" si="28"/>
        <v>0.59346673679999995</v>
      </c>
      <c r="G184" s="53">
        <f t="shared" si="29"/>
        <v>0.59346673679999995</v>
      </c>
      <c r="H184" s="52">
        <v>0.279466402</v>
      </c>
      <c r="I184" s="52">
        <v>0.32774557700000001</v>
      </c>
      <c r="J184" s="52">
        <v>0.30360598999999999</v>
      </c>
      <c r="K184" s="56">
        <v>86</v>
      </c>
      <c r="L184" s="53">
        <v>1</v>
      </c>
      <c r="M184" s="53">
        <f t="shared" si="23"/>
        <v>32.922489149999997</v>
      </c>
      <c r="N184" s="53">
        <f t="shared" si="26"/>
        <v>325.64003671973171</v>
      </c>
      <c r="O184">
        <f t="shared" si="24"/>
        <v>19.538402203183921</v>
      </c>
      <c r="P184">
        <f t="shared" si="25"/>
        <v>19.538402203183864</v>
      </c>
      <c r="R184" s="33">
        <f>N184+Qy!R204</f>
        <v>475.31082062693577</v>
      </c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79"/>
      <c r="AN184" s="33"/>
      <c r="AO184" s="33"/>
      <c r="AP184" s="33"/>
      <c r="AQ184" s="33"/>
      <c r="AR184" s="33"/>
      <c r="AS184" s="78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33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  <c r="HU184" s="33"/>
      <c r="HV184" s="33"/>
      <c r="HW184" s="33"/>
      <c r="HX184" s="33"/>
      <c r="HY184" s="33"/>
      <c r="HZ184" s="33"/>
      <c r="IA184" s="33"/>
      <c r="IB184" s="33"/>
      <c r="IC184" s="33"/>
      <c r="ID184" s="33"/>
      <c r="IE184" s="33"/>
      <c r="IF184" s="33"/>
      <c r="IG184" s="33"/>
      <c r="IH184" s="33"/>
      <c r="II184" s="33"/>
      <c r="IJ184" s="33"/>
      <c r="IK184" s="33"/>
      <c r="IL184" s="33"/>
      <c r="IM184" s="33"/>
      <c r="IN184" s="33"/>
      <c r="IO184" s="33"/>
      <c r="IP184" s="33"/>
      <c r="IQ184" s="33"/>
      <c r="IR184" s="33"/>
      <c r="IS184" s="33"/>
      <c r="IT184" s="33"/>
      <c r="IU184" s="33"/>
      <c r="IV184" s="33"/>
      <c r="IW184" s="33"/>
      <c r="IX184" s="33"/>
      <c r="IY184" s="33"/>
      <c r="IZ184" s="33"/>
      <c r="JA184" s="33"/>
      <c r="JB184" s="33"/>
      <c r="JC184" s="33"/>
      <c r="JD184" s="33"/>
      <c r="JE184" s="33"/>
      <c r="JF184" s="33"/>
      <c r="JG184" s="33"/>
      <c r="JH184" s="33"/>
      <c r="JI184" s="33"/>
      <c r="JJ184" s="33"/>
      <c r="JK184" s="33"/>
      <c r="JL184" s="33"/>
      <c r="JM184" s="33"/>
      <c r="JN184" s="33"/>
      <c r="JO184" s="33"/>
      <c r="JP184" s="33"/>
      <c r="JQ184" s="33"/>
      <c r="JR184" s="33"/>
      <c r="JS184" s="33"/>
      <c r="JT184" s="33"/>
      <c r="JU184" s="33"/>
      <c r="JV184" s="33"/>
      <c r="JW184" s="33"/>
      <c r="JX184" s="33"/>
      <c r="JY184" s="33"/>
      <c r="JZ184" s="33"/>
      <c r="KA184" s="33"/>
      <c r="KB184" s="33"/>
      <c r="KC184" s="33"/>
      <c r="KD184" s="33"/>
      <c r="KE184" s="33"/>
      <c r="KF184" s="33"/>
      <c r="KG184" s="33"/>
      <c r="KH184" s="33"/>
      <c r="KI184" s="33"/>
      <c r="KJ184" s="33"/>
      <c r="KK184" s="33"/>
      <c r="KL184" s="33"/>
    </row>
    <row r="185" spans="1:298" s="53" customFormat="1">
      <c r="A185" s="54"/>
      <c r="B185" s="51">
        <v>1951</v>
      </c>
      <c r="C185" s="52">
        <v>37.54028701</v>
      </c>
      <c r="D185" s="52">
        <v>10.158710470000001</v>
      </c>
      <c r="E185" s="53">
        <f t="shared" si="27"/>
        <v>0.60952262820000003</v>
      </c>
      <c r="F185" s="53">
        <f t="shared" si="28"/>
        <v>0.60952262820000003</v>
      </c>
      <c r="G185" s="53">
        <f t="shared" si="29"/>
        <v>0.60952262820000003</v>
      </c>
      <c r="H185" s="52">
        <v>0.46654917400000001</v>
      </c>
      <c r="I185" s="52">
        <v>0.36195212900000001</v>
      </c>
      <c r="J185" s="52">
        <v>0.414250652</v>
      </c>
      <c r="K185" s="56">
        <v>86</v>
      </c>
      <c r="L185" s="53">
        <v>1</v>
      </c>
      <c r="M185" s="53">
        <f t="shared" si="23"/>
        <v>37.54028701</v>
      </c>
      <c r="N185" s="53">
        <f t="shared" si="26"/>
        <v>381.36090669529204</v>
      </c>
      <c r="O185">
        <f t="shared" si="24"/>
        <v>22.881654401717526</v>
      </c>
      <c r="P185">
        <f t="shared" si="25"/>
        <v>22.881654401717583</v>
      </c>
      <c r="R185" s="33">
        <f>N185+Qy!R205</f>
        <v>543.92005065769388</v>
      </c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79"/>
      <c r="AN185" s="33"/>
      <c r="AO185" s="33"/>
      <c r="AP185" s="33"/>
      <c r="AQ185" s="33"/>
      <c r="AR185" s="33"/>
      <c r="AS185" s="78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  <c r="FT185" s="33"/>
      <c r="FU185" s="33"/>
      <c r="FV185" s="33"/>
      <c r="FW185" s="33"/>
      <c r="FX185" s="33"/>
      <c r="FY185" s="33"/>
      <c r="FZ185" s="33"/>
      <c r="GA185" s="33"/>
      <c r="GB185" s="33"/>
      <c r="GC185" s="33"/>
      <c r="GD185" s="33"/>
      <c r="GE185" s="33"/>
      <c r="GF185" s="33"/>
      <c r="GG185" s="33"/>
      <c r="GH185" s="33"/>
      <c r="GI185" s="33"/>
      <c r="GJ185" s="33"/>
      <c r="GK185" s="33"/>
      <c r="GL185" s="33"/>
      <c r="GM185" s="33"/>
      <c r="GN185" s="33"/>
      <c r="GO185" s="33"/>
      <c r="GP185" s="33"/>
      <c r="GQ185" s="33"/>
      <c r="GR185" s="33"/>
      <c r="GS185" s="33"/>
      <c r="GT185" s="33"/>
      <c r="GU185" s="33"/>
      <c r="GV185" s="33"/>
      <c r="GW185" s="33"/>
      <c r="GX185" s="33"/>
      <c r="GY185" s="33"/>
      <c r="GZ185" s="33"/>
      <c r="HA185" s="33"/>
      <c r="HB185" s="33"/>
      <c r="HC185" s="33"/>
      <c r="HD185" s="33"/>
      <c r="HE185" s="33"/>
      <c r="HF185" s="33"/>
      <c r="HG185" s="33"/>
      <c r="HH185" s="33"/>
      <c r="HI185" s="33"/>
      <c r="HJ185" s="33"/>
      <c r="HK185" s="33"/>
      <c r="HL185" s="33"/>
      <c r="HM185" s="33"/>
      <c r="HN185" s="33"/>
      <c r="HO185" s="33"/>
      <c r="HP185" s="33"/>
      <c r="HQ185" s="33"/>
      <c r="HR185" s="33"/>
      <c r="HS185" s="33"/>
      <c r="HT185" s="33"/>
      <c r="HU185" s="33"/>
      <c r="HV185" s="33"/>
      <c r="HW185" s="33"/>
      <c r="HX185" s="33"/>
      <c r="HY185" s="33"/>
      <c r="HZ185" s="33"/>
      <c r="IA185" s="33"/>
      <c r="IB185" s="33"/>
      <c r="IC185" s="33"/>
      <c r="ID185" s="33"/>
      <c r="IE185" s="33"/>
      <c r="IF185" s="33"/>
      <c r="IG185" s="33"/>
      <c r="IH185" s="33"/>
      <c r="II185" s="33"/>
      <c r="IJ185" s="33"/>
      <c r="IK185" s="33"/>
      <c r="IL185" s="33"/>
      <c r="IM185" s="33"/>
      <c r="IN185" s="33"/>
      <c r="IO185" s="33"/>
      <c r="IP185" s="33"/>
      <c r="IQ185" s="33"/>
      <c r="IR185" s="33"/>
      <c r="IS185" s="33"/>
      <c r="IT185" s="33"/>
      <c r="IU185" s="33"/>
      <c r="IV185" s="33"/>
      <c r="IW185" s="33"/>
      <c r="IX185" s="33"/>
      <c r="IY185" s="33"/>
      <c r="IZ185" s="33"/>
      <c r="JA185" s="33"/>
      <c r="JB185" s="33"/>
      <c r="JC185" s="33"/>
      <c r="JD185" s="33"/>
      <c r="JE185" s="33"/>
      <c r="JF185" s="33"/>
      <c r="JG185" s="33"/>
      <c r="JH185" s="33"/>
      <c r="JI185" s="33"/>
      <c r="JJ185" s="33"/>
      <c r="JK185" s="33"/>
      <c r="JL185" s="33"/>
      <c r="JM185" s="33"/>
      <c r="JN185" s="33"/>
      <c r="JO185" s="33"/>
      <c r="JP185" s="33"/>
      <c r="JQ185" s="33"/>
      <c r="JR185" s="33"/>
      <c r="JS185" s="33"/>
      <c r="JT185" s="33"/>
      <c r="JU185" s="33"/>
      <c r="JV185" s="33"/>
      <c r="JW185" s="33"/>
      <c r="JX185" s="33"/>
      <c r="JY185" s="33"/>
      <c r="JZ185" s="33"/>
      <c r="KA185" s="33"/>
      <c r="KB185" s="33"/>
      <c r="KC185" s="33"/>
      <c r="KD185" s="33"/>
      <c r="KE185" s="33"/>
      <c r="KF185" s="33"/>
      <c r="KG185" s="33"/>
      <c r="KH185" s="33"/>
      <c r="KI185" s="33"/>
      <c r="KJ185" s="33"/>
      <c r="KK185" s="33"/>
      <c r="KL185" s="33"/>
    </row>
    <row r="186" spans="1:298" s="53" customFormat="1">
      <c r="A186" s="54"/>
      <c r="B186" s="51">
        <v>1951</v>
      </c>
      <c r="C186" s="52">
        <v>42.226866090000001</v>
      </c>
      <c r="D186" s="52">
        <v>10.39008151</v>
      </c>
      <c r="E186" s="53">
        <f t="shared" si="27"/>
        <v>0.62340489059999993</v>
      </c>
      <c r="F186" s="53">
        <f t="shared" si="28"/>
        <v>0.62340489059999993</v>
      </c>
      <c r="G186" s="53">
        <f t="shared" si="29"/>
        <v>0.62340489059999993</v>
      </c>
      <c r="H186" s="52">
        <v>0.37548021599999998</v>
      </c>
      <c r="I186" s="52">
        <v>0.287087967</v>
      </c>
      <c r="J186" s="52">
        <v>0.33128409199999997</v>
      </c>
      <c r="K186" s="56">
        <v>86</v>
      </c>
      <c r="L186" s="53">
        <v>1</v>
      </c>
      <c r="M186" s="53">
        <f t="shared" si="23"/>
        <v>42.226866090000001</v>
      </c>
      <c r="N186" s="53">
        <f t="shared" si="26"/>
        <v>438.74058058695499</v>
      </c>
      <c r="O186">
        <f t="shared" si="24"/>
        <v>26.324434835217289</v>
      </c>
      <c r="P186">
        <f t="shared" si="25"/>
        <v>26.324434835217289</v>
      </c>
      <c r="R186" s="33">
        <f>N186+Qy!R207</f>
        <v>622.81781171752573</v>
      </c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79"/>
      <c r="AN186" s="33"/>
      <c r="AO186" s="33"/>
      <c r="AP186" s="33"/>
      <c r="AQ186" s="33"/>
      <c r="AR186" s="33"/>
      <c r="AS186" s="78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  <c r="FT186" s="33"/>
      <c r="FU186" s="33"/>
      <c r="FV186" s="33"/>
      <c r="FW186" s="33"/>
      <c r="FX186" s="33"/>
      <c r="FY186" s="33"/>
      <c r="FZ186" s="33"/>
      <c r="GA186" s="33"/>
      <c r="GB186" s="33"/>
      <c r="GC186" s="33"/>
      <c r="GD186" s="33"/>
      <c r="GE186" s="33"/>
      <c r="GF186" s="33"/>
      <c r="GG186" s="33"/>
      <c r="GH186" s="33"/>
      <c r="GI186" s="33"/>
      <c r="GJ186" s="33"/>
      <c r="GK186" s="33"/>
      <c r="GL186" s="33"/>
      <c r="GM186" s="33"/>
      <c r="GN186" s="33"/>
      <c r="GO186" s="33"/>
      <c r="GP186" s="33"/>
      <c r="GQ186" s="33"/>
      <c r="GR186" s="33"/>
      <c r="GS186" s="33"/>
      <c r="GT186" s="33"/>
      <c r="GU186" s="33"/>
      <c r="GV186" s="33"/>
      <c r="GW186" s="33"/>
      <c r="GX186" s="33"/>
      <c r="GY186" s="33"/>
      <c r="GZ186" s="33"/>
      <c r="HA186" s="33"/>
      <c r="HB186" s="33"/>
      <c r="HC186" s="33"/>
      <c r="HD186" s="33"/>
      <c r="HE186" s="33"/>
      <c r="HF186" s="33"/>
      <c r="HG186" s="33"/>
      <c r="HH186" s="33"/>
      <c r="HI186" s="33"/>
      <c r="HJ186" s="33"/>
      <c r="HK186" s="33"/>
      <c r="HL186" s="33"/>
      <c r="HM186" s="33"/>
      <c r="HN186" s="33"/>
      <c r="HO186" s="33"/>
      <c r="HP186" s="33"/>
      <c r="HQ186" s="33"/>
      <c r="HR186" s="33"/>
      <c r="HS186" s="33"/>
      <c r="HT186" s="33"/>
      <c r="HU186" s="33"/>
      <c r="HV186" s="33"/>
      <c r="HW186" s="33"/>
      <c r="HX186" s="33"/>
      <c r="HY186" s="33"/>
      <c r="HZ186" s="33"/>
      <c r="IA186" s="33"/>
      <c r="IB186" s="33"/>
      <c r="IC186" s="33"/>
      <c r="ID186" s="33"/>
      <c r="IE186" s="33"/>
      <c r="IF186" s="33"/>
      <c r="IG186" s="33"/>
      <c r="IH186" s="33"/>
      <c r="II186" s="33"/>
      <c r="IJ186" s="33"/>
      <c r="IK186" s="33"/>
      <c r="IL186" s="33"/>
      <c r="IM186" s="33"/>
      <c r="IN186" s="33"/>
      <c r="IO186" s="33"/>
      <c r="IP186" s="33"/>
      <c r="IQ186" s="33"/>
      <c r="IR186" s="33"/>
      <c r="IS186" s="33"/>
      <c r="IT186" s="33"/>
      <c r="IU186" s="33"/>
      <c r="IV186" s="33"/>
      <c r="IW186" s="33"/>
      <c r="IX186" s="33"/>
      <c r="IY186" s="33"/>
      <c r="IZ186" s="33"/>
      <c r="JA186" s="33"/>
      <c r="JB186" s="33"/>
      <c r="JC186" s="33"/>
      <c r="JD186" s="33"/>
      <c r="JE186" s="33"/>
      <c r="JF186" s="33"/>
      <c r="JG186" s="33"/>
      <c r="JH186" s="33"/>
      <c r="JI186" s="33"/>
      <c r="JJ186" s="33"/>
      <c r="JK186" s="33"/>
      <c r="JL186" s="33"/>
      <c r="JM186" s="33"/>
      <c r="JN186" s="33"/>
      <c r="JO186" s="33"/>
      <c r="JP186" s="33"/>
      <c r="JQ186" s="33"/>
      <c r="JR186" s="33"/>
      <c r="JS186" s="33"/>
      <c r="JT186" s="33"/>
      <c r="JU186" s="33"/>
      <c r="JV186" s="33"/>
      <c r="JW186" s="33"/>
      <c r="JX186" s="33"/>
      <c r="JY186" s="33"/>
      <c r="JZ186" s="33"/>
      <c r="KA186" s="33"/>
      <c r="KB186" s="33"/>
      <c r="KC186" s="33"/>
      <c r="KD186" s="33"/>
      <c r="KE186" s="33"/>
      <c r="KF186" s="33"/>
      <c r="KG186" s="33"/>
      <c r="KH186" s="33"/>
      <c r="KI186" s="33"/>
      <c r="KJ186" s="33"/>
      <c r="KK186" s="33"/>
      <c r="KL186" s="33"/>
    </row>
    <row r="187" spans="1:298" s="53" customFormat="1">
      <c r="A187" s="54"/>
      <c r="B187" s="51">
        <v>1951</v>
      </c>
      <c r="C187" s="52">
        <v>46.700567560000003</v>
      </c>
      <c r="D187" s="52">
        <v>10.67090659</v>
      </c>
      <c r="E187" s="53">
        <f t="shared" si="27"/>
        <v>0.64025439539999995</v>
      </c>
      <c r="F187" s="53">
        <f t="shared" si="28"/>
        <v>0.64025439539999995</v>
      </c>
      <c r="G187" s="53">
        <f t="shared" si="29"/>
        <v>0.64025439539999995</v>
      </c>
      <c r="H187" s="52">
        <v>0.47353676300000003</v>
      </c>
      <c r="I187" s="52">
        <v>0.35217029399999999</v>
      </c>
      <c r="J187" s="52">
        <v>0.412853529</v>
      </c>
      <c r="K187" s="56">
        <v>86</v>
      </c>
      <c r="L187" s="53">
        <v>1</v>
      </c>
      <c r="M187" s="53">
        <f t="shared" si="23"/>
        <v>46.700567560000003</v>
      </c>
      <c r="N187" s="53">
        <f t="shared" si="26"/>
        <v>498.33739413274424</v>
      </c>
      <c r="O187">
        <f t="shared" si="24"/>
        <v>29.900243647964601</v>
      </c>
      <c r="P187">
        <f t="shared" si="25"/>
        <v>29.900243647964658</v>
      </c>
      <c r="R187" s="33">
        <f>N187+Qy!R208</f>
        <v>702.71098506794397</v>
      </c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79"/>
      <c r="AN187" s="33"/>
      <c r="AO187" s="33"/>
      <c r="AP187" s="33"/>
      <c r="AQ187" s="33"/>
      <c r="AR187" s="33"/>
      <c r="AS187" s="78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  <c r="FT187" s="33"/>
      <c r="FU187" s="33"/>
      <c r="FV187" s="33"/>
      <c r="FW187" s="33"/>
      <c r="FX187" s="33"/>
      <c r="FY187" s="33"/>
      <c r="FZ187" s="33"/>
      <c r="GA187" s="33"/>
      <c r="GB187" s="33"/>
      <c r="GC187" s="33"/>
      <c r="GD187" s="33"/>
      <c r="GE187" s="33"/>
      <c r="GF187" s="33"/>
      <c r="GG187" s="33"/>
      <c r="GH187" s="33"/>
      <c r="GI187" s="33"/>
      <c r="GJ187" s="33"/>
      <c r="GK187" s="33"/>
      <c r="GL187" s="33"/>
      <c r="GM187" s="33"/>
      <c r="GN187" s="33"/>
      <c r="GO187" s="33"/>
      <c r="GP187" s="33"/>
      <c r="GQ187" s="33"/>
      <c r="GR187" s="33"/>
      <c r="GS187" s="33"/>
      <c r="GT187" s="33"/>
      <c r="GU187" s="33"/>
      <c r="GV187" s="33"/>
      <c r="GW187" s="33"/>
      <c r="GX187" s="33"/>
      <c r="GY187" s="33"/>
      <c r="GZ187" s="33"/>
      <c r="HA187" s="33"/>
      <c r="HB187" s="33"/>
      <c r="HC187" s="33"/>
      <c r="HD187" s="33"/>
      <c r="HE187" s="33"/>
      <c r="HF187" s="33"/>
      <c r="HG187" s="33"/>
      <c r="HH187" s="33"/>
      <c r="HI187" s="33"/>
      <c r="HJ187" s="33"/>
      <c r="HK187" s="33"/>
      <c r="HL187" s="33"/>
      <c r="HM187" s="33"/>
      <c r="HN187" s="33"/>
      <c r="HO187" s="33"/>
      <c r="HP187" s="33"/>
      <c r="HQ187" s="33"/>
      <c r="HR187" s="33"/>
      <c r="HS187" s="33"/>
      <c r="HT187" s="33"/>
      <c r="HU187" s="33"/>
      <c r="HV187" s="33"/>
      <c r="HW187" s="33"/>
      <c r="HX187" s="33"/>
      <c r="HY187" s="33"/>
      <c r="HZ187" s="33"/>
      <c r="IA187" s="33"/>
      <c r="IB187" s="33"/>
      <c r="IC187" s="33"/>
      <c r="ID187" s="33"/>
      <c r="IE187" s="33"/>
      <c r="IF187" s="33"/>
      <c r="IG187" s="33"/>
      <c r="IH187" s="33"/>
      <c r="II187" s="33"/>
      <c r="IJ187" s="33"/>
      <c r="IK187" s="33"/>
      <c r="IL187" s="33"/>
      <c r="IM187" s="33"/>
      <c r="IN187" s="33"/>
      <c r="IO187" s="33"/>
      <c r="IP187" s="33"/>
      <c r="IQ187" s="33"/>
      <c r="IR187" s="33"/>
      <c r="IS187" s="33"/>
      <c r="IT187" s="33"/>
      <c r="IU187" s="33"/>
      <c r="IV187" s="33"/>
      <c r="IW187" s="33"/>
      <c r="IX187" s="33"/>
      <c r="IY187" s="33"/>
      <c r="IZ187" s="33"/>
      <c r="JA187" s="33"/>
      <c r="JB187" s="33"/>
      <c r="JC187" s="33"/>
      <c r="JD187" s="33"/>
      <c r="JE187" s="33"/>
      <c r="JF187" s="33"/>
      <c r="JG187" s="33"/>
      <c r="JH187" s="33"/>
      <c r="JI187" s="33"/>
      <c r="JJ187" s="33"/>
      <c r="JK187" s="33"/>
      <c r="JL187" s="33"/>
      <c r="JM187" s="33"/>
      <c r="JN187" s="33"/>
      <c r="JO187" s="33"/>
      <c r="JP187" s="33"/>
      <c r="JQ187" s="33"/>
      <c r="JR187" s="33"/>
      <c r="JS187" s="33"/>
      <c r="JT187" s="33"/>
      <c r="JU187" s="33"/>
      <c r="JV187" s="33"/>
      <c r="JW187" s="33"/>
      <c r="JX187" s="33"/>
      <c r="JY187" s="33"/>
      <c r="JZ187" s="33"/>
      <c r="KA187" s="33"/>
      <c r="KB187" s="33"/>
      <c r="KC187" s="33"/>
      <c r="KD187" s="33"/>
      <c r="KE187" s="33"/>
      <c r="KF187" s="33"/>
      <c r="KG187" s="33"/>
      <c r="KH187" s="33"/>
      <c r="KI187" s="33"/>
      <c r="KJ187" s="33"/>
      <c r="KK187" s="33"/>
      <c r="KL187" s="33"/>
    </row>
    <row r="188" spans="1:298" s="53" customFormat="1">
      <c r="A188" s="54"/>
      <c r="B188" s="51">
        <v>1951</v>
      </c>
      <c r="C188" s="52">
        <v>56.5</v>
      </c>
      <c r="D188" s="52">
        <v>10.89127667</v>
      </c>
      <c r="E188" s="53">
        <f t="shared" si="27"/>
        <v>0.65347660019999998</v>
      </c>
      <c r="F188" s="53">
        <f t="shared" si="28"/>
        <v>0.65347660019999998</v>
      </c>
      <c r="G188" s="53">
        <f t="shared" si="29"/>
        <v>0.65347660019999998</v>
      </c>
      <c r="H188" s="52">
        <v>0.372884508</v>
      </c>
      <c r="I188" s="52">
        <v>0.299861143</v>
      </c>
      <c r="J188" s="52">
        <v>0.33637282600000001</v>
      </c>
      <c r="K188" s="56">
        <v>86</v>
      </c>
      <c r="L188" s="53">
        <v>1</v>
      </c>
      <c r="M188" s="53">
        <f t="shared" si="23"/>
        <v>56.5</v>
      </c>
      <c r="N188" s="53">
        <f t="shared" si="26"/>
        <v>615.35713185500003</v>
      </c>
      <c r="O188">
        <f t="shared" si="24"/>
        <v>36.921427911299929</v>
      </c>
      <c r="P188">
        <f t="shared" si="25"/>
        <v>36.921427911300043</v>
      </c>
      <c r="R188" s="33">
        <f>N188+Qy!R209</f>
        <v>834.48807175499996</v>
      </c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79"/>
      <c r="AN188" s="33"/>
      <c r="AO188" s="33"/>
      <c r="AP188" s="33"/>
      <c r="AQ188" s="33"/>
      <c r="AR188" s="33"/>
      <c r="AS188" s="78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33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  <c r="HU188" s="33"/>
      <c r="HV188" s="33"/>
      <c r="HW188" s="33"/>
      <c r="HX188" s="33"/>
      <c r="HY188" s="33"/>
      <c r="HZ188" s="33"/>
      <c r="IA188" s="33"/>
      <c r="IB188" s="33"/>
      <c r="IC188" s="33"/>
      <c r="ID188" s="33"/>
      <c r="IE188" s="33"/>
      <c r="IF188" s="33"/>
      <c r="IG188" s="33"/>
      <c r="IH188" s="33"/>
      <c r="II188" s="33"/>
      <c r="IJ188" s="33"/>
      <c r="IK188" s="33"/>
      <c r="IL188" s="33"/>
      <c r="IM188" s="33"/>
      <c r="IN188" s="33"/>
      <c r="IO188" s="33"/>
      <c r="IP188" s="33"/>
      <c r="IQ188" s="33"/>
      <c r="IR188" s="33"/>
      <c r="IS188" s="33"/>
      <c r="IT188" s="33"/>
      <c r="IU188" s="33"/>
      <c r="IV188" s="33"/>
      <c r="IW188" s="33"/>
      <c r="IX188" s="33"/>
      <c r="IY188" s="33"/>
      <c r="IZ188" s="33"/>
      <c r="JA188" s="33"/>
      <c r="JB188" s="33"/>
      <c r="JC188" s="33"/>
      <c r="JD188" s="33"/>
      <c r="JE188" s="33"/>
      <c r="JF188" s="33"/>
      <c r="JG188" s="33"/>
      <c r="JH188" s="33"/>
      <c r="JI188" s="33"/>
      <c r="JJ188" s="33"/>
      <c r="JK188" s="33"/>
      <c r="JL188" s="33"/>
      <c r="JM188" s="33"/>
      <c r="JN188" s="33"/>
      <c r="JO188" s="33"/>
      <c r="JP188" s="33"/>
      <c r="JQ188" s="33"/>
      <c r="JR188" s="33"/>
      <c r="JS188" s="33"/>
      <c r="JT188" s="33"/>
      <c r="JU188" s="33"/>
      <c r="JV188" s="33"/>
      <c r="JW188" s="33"/>
      <c r="JX188" s="33"/>
      <c r="JY188" s="33"/>
      <c r="JZ188" s="33"/>
      <c r="KA188" s="33"/>
      <c r="KB188" s="33"/>
      <c r="KC188" s="33"/>
      <c r="KD188" s="33"/>
      <c r="KE188" s="33"/>
      <c r="KF188" s="33"/>
      <c r="KG188" s="33"/>
      <c r="KH188" s="33"/>
      <c r="KI188" s="33"/>
      <c r="KJ188" s="33"/>
      <c r="KK188" s="33"/>
      <c r="KL188" s="33"/>
    </row>
    <row r="189" spans="1:298" s="53" customFormat="1">
      <c r="A189" s="54"/>
      <c r="B189" s="51">
        <v>1951</v>
      </c>
      <c r="C189" s="52">
        <v>60.766878630000001</v>
      </c>
      <c r="D189" s="52">
        <v>11.513918889999999</v>
      </c>
      <c r="E189" s="53">
        <f t="shared" si="27"/>
        <v>0.69083513339999991</v>
      </c>
      <c r="F189" s="53">
        <f t="shared" si="28"/>
        <v>0.69083513339999991</v>
      </c>
      <c r="G189" s="53">
        <f t="shared" si="29"/>
        <v>0.69083513339999991</v>
      </c>
      <c r="H189" s="52">
        <v>0.51272702699999995</v>
      </c>
      <c r="I189" s="52">
        <v>0.391205686</v>
      </c>
      <c r="J189" s="52">
        <v>0.45196635699999999</v>
      </c>
      <c r="K189" s="56">
        <v>86</v>
      </c>
      <c r="L189" s="53">
        <v>1</v>
      </c>
      <c r="M189" s="53">
        <f t="shared" si="23"/>
        <v>60.766878630000001</v>
      </c>
      <c r="N189" s="53">
        <f t="shared" si="26"/>
        <v>699.66491174429427</v>
      </c>
      <c r="O189">
        <f t="shared" si="24"/>
        <v>41.979894704657681</v>
      </c>
      <c r="P189">
        <f t="shared" si="25"/>
        <v>41.979894704657681</v>
      </c>
      <c r="R189" s="33">
        <f>N189+Qy!R210</f>
        <v>917.13418989243553</v>
      </c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79"/>
      <c r="AN189" s="33"/>
      <c r="AO189" s="33"/>
      <c r="AP189" s="33"/>
      <c r="AQ189" s="33"/>
      <c r="AR189" s="33"/>
      <c r="AS189" s="78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  <c r="FT189" s="33"/>
      <c r="FU189" s="33"/>
      <c r="FV189" s="33"/>
      <c r="FW189" s="33"/>
      <c r="FX189" s="33"/>
      <c r="FY189" s="33"/>
      <c r="FZ189" s="33"/>
      <c r="GA189" s="33"/>
      <c r="GB189" s="33"/>
      <c r="GC189" s="33"/>
      <c r="GD189" s="33"/>
      <c r="GE189" s="33"/>
      <c r="GF189" s="33"/>
      <c r="GG189" s="33"/>
      <c r="GH189" s="33"/>
      <c r="GI189" s="33"/>
      <c r="GJ189" s="33"/>
      <c r="GK189" s="33"/>
      <c r="GL189" s="33"/>
      <c r="GM189" s="33"/>
      <c r="GN189" s="33"/>
      <c r="GO189" s="33"/>
      <c r="GP189" s="33"/>
      <c r="GQ189" s="33"/>
      <c r="GR189" s="33"/>
      <c r="GS189" s="33"/>
      <c r="GT189" s="33"/>
      <c r="GU189" s="33"/>
      <c r="GV189" s="33"/>
      <c r="GW189" s="33"/>
      <c r="GX189" s="33"/>
      <c r="GY189" s="33"/>
      <c r="GZ189" s="33"/>
      <c r="HA189" s="33"/>
      <c r="HB189" s="33"/>
      <c r="HC189" s="33"/>
      <c r="HD189" s="33"/>
      <c r="HE189" s="33"/>
      <c r="HF189" s="33"/>
      <c r="HG189" s="33"/>
      <c r="HH189" s="33"/>
      <c r="HI189" s="33"/>
      <c r="HJ189" s="33"/>
      <c r="HK189" s="33"/>
      <c r="HL189" s="33"/>
      <c r="HM189" s="33"/>
      <c r="HN189" s="33"/>
      <c r="HO189" s="33"/>
      <c r="HP189" s="33"/>
      <c r="HQ189" s="33"/>
      <c r="HR189" s="33"/>
      <c r="HS189" s="33"/>
      <c r="HT189" s="33"/>
      <c r="HU189" s="33"/>
      <c r="HV189" s="33"/>
      <c r="HW189" s="33"/>
      <c r="HX189" s="33"/>
      <c r="HY189" s="33"/>
      <c r="HZ189" s="33"/>
      <c r="IA189" s="33"/>
      <c r="IB189" s="33"/>
      <c r="IC189" s="33"/>
      <c r="ID189" s="33"/>
      <c r="IE189" s="33"/>
      <c r="IF189" s="33"/>
      <c r="IG189" s="33"/>
      <c r="IH189" s="33"/>
      <c r="II189" s="33"/>
      <c r="IJ189" s="33"/>
      <c r="IK189" s="33"/>
      <c r="IL189" s="33"/>
      <c r="IM189" s="33"/>
      <c r="IN189" s="33"/>
      <c r="IO189" s="33"/>
      <c r="IP189" s="33"/>
      <c r="IQ189" s="33"/>
      <c r="IR189" s="33"/>
      <c r="IS189" s="33"/>
      <c r="IT189" s="33"/>
      <c r="IU189" s="33"/>
      <c r="IV189" s="33"/>
      <c r="IW189" s="33"/>
      <c r="IX189" s="33"/>
      <c r="IY189" s="33"/>
      <c r="IZ189" s="33"/>
      <c r="JA189" s="33"/>
      <c r="JB189" s="33"/>
      <c r="JC189" s="33"/>
      <c r="JD189" s="33"/>
      <c r="JE189" s="33"/>
      <c r="JF189" s="33"/>
      <c r="JG189" s="33"/>
      <c r="JH189" s="33"/>
      <c r="JI189" s="33"/>
      <c r="JJ189" s="33"/>
      <c r="JK189" s="33"/>
      <c r="JL189" s="33"/>
      <c r="JM189" s="33"/>
      <c r="JN189" s="33"/>
      <c r="JO189" s="33"/>
      <c r="JP189" s="33"/>
      <c r="JQ189" s="33"/>
      <c r="JR189" s="33"/>
      <c r="JS189" s="33"/>
      <c r="JT189" s="33"/>
      <c r="JU189" s="33"/>
      <c r="JV189" s="33"/>
      <c r="JW189" s="33"/>
      <c r="JX189" s="33"/>
      <c r="JY189" s="33"/>
      <c r="JZ189" s="33"/>
      <c r="KA189" s="33"/>
      <c r="KB189" s="33"/>
      <c r="KC189" s="33"/>
      <c r="KD189" s="33"/>
      <c r="KE189" s="33"/>
      <c r="KF189" s="33"/>
      <c r="KG189" s="33"/>
      <c r="KH189" s="33"/>
      <c r="KI189" s="33"/>
      <c r="KJ189" s="33"/>
      <c r="KK189" s="33"/>
      <c r="KL189" s="33"/>
    </row>
    <row r="190" spans="1:298" s="53" customFormat="1">
      <c r="A190" s="54"/>
      <c r="B190" s="51">
        <v>1951</v>
      </c>
      <c r="C190" s="52">
        <v>68.153741550000007</v>
      </c>
      <c r="D190" s="52">
        <v>11.96489145</v>
      </c>
      <c r="E190" s="53">
        <f t="shared" si="27"/>
        <v>0.717893487</v>
      </c>
      <c r="F190" s="53">
        <f t="shared" si="28"/>
        <v>0.717893487</v>
      </c>
      <c r="G190" s="53">
        <f t="shared" si="29"/>
        <v>0.717893487</v>
      </c>
      <c r="H190" s="52">
        <v>0.50212869199999999</v>
      </c>
      <c r="I190" s="52">
        <v>0.37382011599999998</v>
      </c>
      <c r="J190" s="52">
        <v>0.43797440399999998</v>
      </c>
      <c r="K190" s="56">
        <v>86</v>
      </c>
      <c r="L190" s="53">
        <v>1</v>
      </c>
      <c r="M190" s="53">
        <f t="shared" si="23"/>
        <v>68.153741550000007</v>
      </c>
      <c r="N190" s="53">
        <f t="shared" si="26"/>
        <v>815.45211955710477</v>
      </c>
      <c r="O190">
        <f t="shared" si="24"/>
        <v>48.927127173426243</v>
      </c>
      <c r="P190">
        <f t="shared" si="25"/>
        <v>48.927127173426243</v>
      </c>
      <c r="R190" s="33">
        <f>N190+Qy!R211</f>
        <v>1050.1948581162217</v>
      </c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79"/>
      <c r="AN190" s="33"/>
      <c r="AO190" s="33"/>
      <c r="AP190" s="33"/>
      <c r="AQ190" s="33"/>
      <c r="AR190" s="33"/>
      <c r="AS190" s="78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33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  <c r="HU190" s="33"/>
      <c r="HV190" s="33"/>
      <c r="HW190" s="33"/>
      <c r="HX190" s="33"/>
      <c r="HY190" s="33"/>
      <c r="HZ190" s="33"/>
      <c r="IA190" s="33"/>
      <c r="IB190" s="33"/>
      <c r="IC190" s="33"/>
      <c r="ID190" s="33"/>
      <c r="IE190" s="33"/>
      <c r="IF190" s="33"/>
      <c r="IG190" s="33"/>
      <c r="IH190" s="33"/>
      <c r="II190" s="33"/>
      <c r="IJ190" s="33"/>
      <c r="IK190" s="33"/>
      <c r="IL190" s="33"/>
      <c r="IM190" s="33"/>
      <c r="IN190" s="33"/>
      <c r="IO190" s="33"/>
      <c r="IP190" s="33"/>
      <c r="IQ190" s="33"/>
      <c r="IR190" s="33"/>
      <c r="IS190" s="33"/>
      <c r="IT190" s="33"/>
      <c r="IU190" s="33"/>
      <c r="IV190" s="33"/>
      <c r="IW190" s="33"/>
      <c r="IX190" s="33"/>
      <c r="IY190" s="33"/>
      <c r="IZ190" s="33"/>
      <c r="JA190" s="33"/>
      <c r="JB190" s="33"/>
      <c r="JC190" s="33"/>
      <c r="JD190" s="33"/>
      <c r="JE190" s="33"/>
      <c r="JF190" s="33"/>
      <c r="JG190" s="33"/>
      <c r="JH190" s="33"/>
      <c r="JI190" s="33"/>
      <c r="JJ190" s="33"/>
      <c r="JK190" s="33"/>
      <c r="JL190" s="33"/>
      <c r="JM190" s="33"/>
      <c r="JN190" s="33"/>
      <c r="JO190" s="33"/>
      <c r="JP190" s="33"/>
      <c r="JQ190" s="33"/>
      <c r="JR190" s="33"/>
      <c r="JS190" s="33"/>
      <c r="JT190" s="33"/>
      <c r="JU190" s="33"/>
      <c r="JV190" s="33"/>
      <c r="JW190" s="33"/>
      <c r="JX190" s="33"/>
      <c r="JY190" s="33"/>
      <c r="JZ190" s="33"/>
      <c r="KA190" s="33"/>
      <c r="KB190" s="33"/>
      <c r="KC190" s="33"/>
      <c r="KD190" s="33"/>
      <c r="KE190" s="33"/>
      <c r="KF190" s="33"/>
      <c r="KG190" s="33"/>
      <c r="KH190" s="33"/>
      <c r="KI190" s="33"/>
      <c r="KJ190" s="33"/>
      <c r="KK190" s="33"/>
      <c r="KL190" s="33"/>
    </row>
    <row r="191" spans="1:298" s="53" customFormat="1">
      <c r="A191" s="54"/>
      <c r="B191" s="51">
        <v>1951</v>
      </c>
      <c r="C191" s="52">
        <v>77.224916190000002</v>
      </c>
      <c r="D191" s="52">
        <v>12.790933190000001</v>
      </c>
      <c r="E191" s="53">
        <f t="shared" si="27"/>
        <v>0.76745599139999998</v>
      </c>
      <c r="F191" s="53">
        <f t="shared" si="28"/>
        <v>0.76745599139999998</v>
      </c>
      <c r="G191" s="53">
        <f t="shared" si="29"/>
        <v>0.76745599139999998</v>
      </c>
      <c r="H191" s="52">
        <v>0.44429166599999997</v>
      </c>
      <c r="I191" s="52">
        <v>0.32653861699999998</v>
      </c>
      <c r="J191" s="52">
        <v>0.38541514199999999</v>
      </c>
      <c r="K191" s="56">
        <v>86</v>
      </c>
      <c r="L191" s="53">
        <v>1</v>
      </c>
      <c r="M191" s="53">
        <f t="shared" si="23"/>
        <v>77.224916190000002</v>
      </c>
      <c r="N191" s="53">
        <f t="shared" si="26"/>
        <v>987.77874358963936</v>
      </c>
      <c r="O191">
        <f t="shared" si="24"/>
        <v>59.266724615378507</v>
      </c>
      <c r="P191">
        <f t="shared" si="25"/>
        <v>59.266724615378394</v>
      </c>
      <c r="R191" s="33">
        <f>N191+Qy!R212</f>
        <v>1243.0300467888876</v>
      </c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79"/>
      <c r="AN191" s="33"/>
      <c r="AO191" s="33"/>
      <c r="AP191" s="33"/>
      <c r="AQ191" s="33"/>
      <c r="AR191" s="33"/>
      <c r="AS191" s="78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33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  <c r="HU191" s="33"/>
      <c r="HV191" s="33"/>
      <c r="HW191" s="33"/>
      <c r="HX191" s="33"/>
      <c r="HY191" s="33"/>
      <c r="HZ191" s="33"/>
      <c r="IA191" s="33"/>
      <c r="IB191" s="33"/>
      <c r="IC191" s="33"/>
      <c r="ID191" s="33"/>
      <c r="IE191" s="33"/>
      <c r="IF191" s="33"/>
      <c r="IG191" s="33"/>
      <c r="IH191" s="33"/>
      <c r="II191" s="33"/>
      <c r="IJ191" s="33"/>
      <c r="IK191" s="33"/>
      <c r="IL191" s="33"/>
      <c r="IM191" s="33"/>
      <c r="IN191" s="33"/>
      <c r="IO191" s="33"/>
      <c r="IP191" s="33"/>
      <c r="IQ191" s="33"/>
      <c r="IR191" s="33"/>
      <c r="IS191" s="33"/>
      <c r="IT191" s="33"/>
      <c r="IU191" s="33"/>
      <c r="IV191" s="33"/>
      <c r="IW191" s="33"/>
      <c r="IX191" s="33"/>
      <c r="IY191" s="33"/>
      <c r="IZ191" s="33"/>
      <c r="JA191" s="33"/>
      <c r="JB191" s="33"/>
      <c r="JC191" s="33"/>
      <c r="JD191" s="33"/>
      <c r="JE191" s="33"/>
      <c r="JF191" s="33"/>
      <c r="JG191" s="33"/>
      <c r="JH191" s="33"/>
      <c r="JI191" s="33"/>
      <c r="JJ191" s="33"/>
      <c r="JK191" s="33"/>
      <c r="JL191" s="33"/>
      <c r="JM191" s="33"/>
      <c r="JN191" s="33"/>
      <c r="JO191" s="33"/>
      <c r="JP191" s="33"/>
      <c r="JQ191" s="33"/>
      <c r="JR191" s="33"/>
      <c r="JS191" s="33"/>
      <c r="JT191" s="33"/>
      <c r="JU191" s="33"/>
      <c r="JV191" s="33"/>
      <c r="JW191" s="33"/>
      <c r="JX191" s="33"/>
      <c r="JY191" s="33"/>
      <c r="JZ191" s="33"/>
      <c r="KA191" s="33"/>
      <c r="KB191" s="33"/>
      <c r="KC191" s="33"/>
      <c r="KD191" s="33"/>
      <c r="KE191" s="33"/>
      <c r="KF191" s="33"/>
      <c r="KG191" s="33"/>
      <c r="KH191" s="33"/>
      <c r="KI191" s="33"/>
      <c r="KJ191" s="33"/>
      <c r="KK191" s="33"/>
      <c r="KL191" s="33"/>
    </row>
    <row r="192" spans="1:298">
      <c r="A192" s="10" t="s">
        <v>11</v>
      </c>
      <c r="B192" s="4">
        <v>3400</v>
      </c>
      <c r="C192">
        <v>4</v>
      </c>
      <c r="D192">
        <f>64*0.92*0.0719553</f>
        <v>4.2367280640000002</v>
      </c>
      <c r="E192">
        <f>0.92*64*0.5*(F192+G192)</f>
        <v>0.89436953600000002</v>
      </c>
      <c r="F192">
        <v>1.7988799999999999E-2</v>
      </c>
      <c r="G192">
        <v>1.23906E-2</v>
      </c>
      <c r="H192" s="7">
        <v>0.06</v>
      </c>
      <c r="I192" s="7">
        <v>0.06</v>
      </c>
      <c r="J192" s="4">
        <f>0.015*C192</f>
        <v>0.06</v>
      </c>
      <c r="K192" s="49">
        <v>200</v>
      </c>
      <c r="L192" s="5">
        <v>1</v>
      </c>
      <c r="M192" s="7">
        <v>3.2320715170000001</v>
      </c>
      <c r="N192">
        <f t="shared" si="26"/>
        <v>16.946912256000001</v>
      </c>
      <c r="O192">
        <f t="shared" si="24"/>
        <v>7.195520000000144E-2</v>
      </c>
      <c r="P192">
        <f t="shared" si="25"/>
        <v>4.9562399999999229E-2</v>
      </c>
      <c r="R192" s="33">
        <f>N192+Qy!R232</f>
        <v>42.092440336996191</v>
      </c>
      <c r="AM192" s="79"/>
      <c r="AS192" s="78"/>
    </row>
    <row r="193" spans="1:45">
      <c r="A193" s="65" t="s">
        <v>78</v>
      </c>
      <c r="B193" s="4">
        <v>3400</v>
      </c>
      <c r="C193">
        <v>4.30708</v>
      </c>
      <c r="D193">
        <f>64*0.92*0.0748521</f>
        <v>4.4072916480000002</v>
      </c>
      <c r="E193">
        <f t="shared" ref="E193:E265" si="30">0.92*64*0.5*(F193+G193)</f>
        <v>0.86094336000000005</v>
      </c>
      <c r="F193">
        <v>1.73788E-2</v>
      </c>
      <c r="G193">
        <v>1.1865199999999999E-2</v>
      </c>
      <c r="H193" s="7">
        <v>6.4606200000000003E-2</v>
      </c>
      <c r="I193" s="7">
        <v>6.4606200000000003E-2</v>
      </c>
      <c r="J193" s="4">
        <f t="shared" ref="J193:J241" si="31">0.015*C193</f>
        <v>6.4606200000000003E-2</v>
      </c>
      <c r="K193" s="49">
        <v>200</v>
      </c>
      <c r="L193" s="5">
        <v>1</v>
      </c>
      <c r="M193" s="7">
        <v>3.425044738</v>
      </c>
      <c r="N193">
        <f t="shared" si="26"/>
        <v>18.982557711267841</v>
      </c>
      <c r="O193">
        <f t="shared" si="24"/>
        <v>7.4851881904002937E-2</v>
      </c>
      <c r="P193">
        <f t="shared" si="25"/>
        <v>5.1104365615998404E-2</v>
      </c>
      <c r="R193" s="33">
        <f>N193+Qy!R233</f>
        <v>45.498752566253117</v>
      </c>
      <c r="AM193" s="79"/>
      <c r="AS193" s="78"/>
    </row>
    <row r="194" spans="1:45">
      <c r="B194" s="4">
        <v>3400</v>
      </c>
      <c r="C194">
        <v>4.63774</v>
      </c>
      <c r="D194">
        <f>64*0.92*0.0781994</f>
        <v>4.6043806720000005</v>
      </c>
      <c r="E194">
        <f t="shared" si="30"/>
        <v>0.83642278400000003</v>
      </c>
      <c r="F194">
        <v>1.6861500000000001E-2</v>
      </c>
      <c r="G194">
        <v>1.15496E-2</v>
      </c>
      <c r="H194" s="7">
        <v>6.9566100000000006E-2</v>
      </c>
      <c r="I194" s="7">
        <v>6.9566100000000006E-2</v>
      </c>
      <c r="J194" s="4">
        <f t="shared" si="31"/>
        <v>6.9566099999999992E-2</v>
      </c>
      <c r="K194" s="49">
        <v>200</v>
      </c>
      <c r="L194" s="5">
        <v>1</v>
      </c>
      <c r="M194" s="7">
        <v>3.634202127</v>
      </c>
      <c r="N194">
        <f t="shared" si="26"/>
        <v>21.35392041776128</v>
      </c>
      <c r="O194">
        <f t="shared" si="24"/>
        <v>7.8199253010001968E-2</v>
      </c>
      <c r="P194">
        <f t="shared" si="25"/>
        <v>5.3564041903999993E-2</v>
      </c>
      <c r="R194" s="33">
        <f>N194+Qy!R234</f>
        <v>49.34138783285902</v>
      </c>
      <c r="AM194" s="79"/>
      <c r="AS194" s="78"/>
    </row>
    <row r="195" spans="1:45">
      <c r="B195" s="4">
        <v>3400</v>
      </c>
      <c r="C195">
        <v>4.9937800000000001</v>
      </c>
      <c r="D195">
        <f>64*0.92*0.0819813</f>
        <v>4.827058944</v>
      </c>
      <c r="E195">
        <f t="shared" si="30"/>
        <v>0.80218112000000008</v>
      </c>
      <c r="F195">
        <v>1.6416699999999999E-2</v>
      </c>
      <c r="G195">
        <v>1.08313E-2</v>
      </c>
      <c r="H195" s="7">
        <v>7.4906700000000007E-2</v>
      </c>
      <c r="I195" s="7">
        <v>7.4906700000000007E-2</v>
      </c>
      <c r="J195" s="4">
        <f t="shared" si="31"/>
        <v>7.4906699999999993E-2</v>
      </c>
      <c r="K195" s="49">
        <v>200</v>
      </c>
      <c r="L195" s="5">
        <v>1</v>
      </c>
      <c r="M195" s="7">
        <v>3.8630488660000002</v>
      </c>
      <c r="N195">
        <f t="shared" si="26"/>
        <v>24.10527041336832</v>
      </c>
      <c r="O195">
        <f t="shared" ref="O195:O258" si="32">C195*(D195+F195)*L195-N195</f>
        <v>8.1981388125999644E-2</v>
      </c>
      <c r="P195">
        <f t="shared" ref="P195:P258" si="33">N195-C195*(D195-G195)*L195</f>
        <v>5.4089129314000672E-2</v>
      </c>
      <c r="R195" s="33">
        <f>N195+Qy!R235</f>
        <v>53.685807292365148</v>
      </c>
      <c r="AM195" s="79"/>
      <c r="AS195" s="78"/>
    </row>
    <row r="196" spans="1:45">
      <c r="B196" s="4">
        <v>3400</v>
      </c>
      <c r="C196">
        <v>5.3771500000000003</v>
      </c>
      <c r="D196">
        <f>64*0.92*0.086151</f>
        <v>5.0725708800000007</v>
      </c>
      <c r="E196">
        <f t="shared" si="30"/>
        <v>0.75931294719999998</v>
      </c>
      <c r="F196">
        <v>1.60217E-2</v>
      </c>
      <c r="G196">
        <v>9.7701799999999998E-3</v>
      </c>
      <c r="H196" s="7">
        <v>8.065725E-2</v>
      </c>
      <c r="I196" s="7">
        <v>8.065725E-2</v>
      </c>
      <c r="J196" s="4">
        <f t="shared" si="31"/>
        <v>8.065725E-2</v>
      </c>
      <c r="K196" s="49">
        <v>200</v>
      </c>
      <c r="L196" s="5">
        <v>1</v>
      </c>
      <c r="M196" s="7">
        <v>4.1160550249999996</v>
      </c>
      <c r="N196">
        <f t="shared" si="26"/>
        <v>27.275974507392004</v>
      </c>
      <c r="O196">
        <f t="shared" si="32"/>
        <v>8.6151084154998614E-2</v>
      </c>
      <c r="P196">
        <f t="shared" si="33"/>
        <v>5.2535723386998967E-2</v>
      </c>
      <c r="R196" s="33">
        <f>N196+Qy!R236</f>
        <v>58.597954637917837</v>
      </c>
      <c r="AM196" s="79"/>
      <c r="AS196" s="78"/>
    </row>
    <row r="197" spans="1:45">
      <c r="B197" s="4">
        <v>3400</v>
      </c>
      <c r="C197">
        <v>5.7899599999999998</v>
      </c>
      <c r="D197">
        <f>64*0.92*0.0906187</f>
        <v>5.3356290560000001</v>
      </c>
      <c r="E197">
        <f t="shared" si="30"/>
        <v>0.71050319360000003</v>
      </c>
      <c r="F197">
        <v>1.5651000000000002E-2</v>
      </c>
      <c r="G197">
        <v>8.4829399999999996E-3</v>
      </c>
      <c r="H197" s="7">
        <v>8.6849399999999993E-2</v>
      </c>
      <c r="I197" s="7">
        <v>8.6849399999999993E-2</v>
      </c>
      <c r="J197" s="4">
        <f t="shared" si="31"/>
        <v>8.6849399999999993E-2</v>
      </c>
      <c r="K197" s="49">
        <v>200</v>
      </c>
      <c r="L197" s="5">
        <v>1</v>
      </c>
      <c r="M197" s="7">
        <v>4.398757883</v>
      </c>
      <c r="N197">
        <f t="shared" si="26"/>
        <v>30.89307880907776</v>
      </c>
      <c r="O197">
        <f t="shared" si="32"/>
        <v>9.0618663960000845E-2</v>
      </c>
      <c r="P197">
        <f t="shared" si="33"/>
        <v>4.9115883282404127E-2</v>
      </c>
      <c r="R197" s="33">
        <f>N197+Qy!R237</f>
        <v>64.136971167681352</v>
      </c>
      <c r="AM197" s="79"/>
      <c r="AS197" s="78"/>
    </row>
    <row r="198" spans="1:45">
      <c r="B198" s="4">
        <v>3400</v>
      </c>
      <c r="C198">
        <v>6.2344600000000003</v>
      </c>
      <c r="D198">
        <f>64*0.92*0.0952395</f>
        <v>5.6077017600000003</v>
      </c>
      <c r="E198">
        <f t="shared" si="30"/>
        <v>0.6736531456</v>
      </c>
      <c r="F198">
        <v>1.52763E-2</v>
      </c>
      <c r="G198">
        <v>7.6059400000000003E-3</v>
      </c>
      <c r="H198" s="7">
        <v>9.35169E-2</v>
      </c>
      <c r="I198" s="7">
        <v>9.35169E-2</v>
      </c>
      <c r="J198" s="4">
        <f t="shared" si="31"/>
        <v>9.35169E-2</v>
      </c>
      <c r="K198" s="49">
        <v>200</v>
      </c>
      <c r="L198" s="5">
        <v>1</v>
      </c>
      <c r="M198" s="7">
        <v>4.7178801750000003</v>
      </c>
      <c r="N198">
        <f t="shared" si="26"/>
        <v>34.960992314649602</v>
      </c>
      <c r="O198">
        <f t="shared" si="32"/>
        <v>9.5239481298001749E-2</v>
      </c>
      <c r="P198">
        <f t="shared" si="33"/>
        <v>4.7418928692401607E-2</v>
      </c>
      <c r="R198" s="33">
        <f>N198+Qy!R238</f>
        <v>70.344949603059291</v>
      </c>
      <c r="AM198" s="79"/>
      <c r="AS198" s="78"/>
    </row>
    <row r="199" spans="1:45">
      <c r="B199" s="4">
        <v>3400</v>
      </c>
      <c r="C199">
        <v>6.7130799999999997</v>
      </c>
      <c r="D199">
        <f>64*0.92*0.0999066</f>
        <v>5.882500608</v>
      </c>
      <c r="E199">
        <f t="shared" si="30"/>
        <v>0.64945464320000013</v>
      </c>
      <c r="F199">
        <v>1.48824E-2</v>
      </c>
      <c r="G199">
        <v>7.1778800000000002E-3</v>
      </c>
      <c r="H199" s="7">
        <v>0.1006962</v>
      </c>
      <c r="I199" s="7">
        <v>0.1006962</v>
      </c>
      <c r="J199" s="4">
        <f t="shared" si="31"/>
        <v>0.10069619999999999</v>
      </c>
      <c r="K199" s="49">
        <v>200</v>
      </c>
      <c r="L199" s="5">
        <v>1</v>
      </c>
      <c r="M199" s="7">
        <v>5.0814605200000003</v>
      </c>
      <c r="N199">
        <f t="shared" si="26"/>
        <v>39.489697181552636</v>
      </c>
      <c r="O199">
        <f t="shared" si="32"/>
        <v>9.9906741792004539E-2</v>
      </c>
      <c r="P199">
        <f t="shared" si="33"/>
        <v>4.8185682670400354E-2</v>
      </c>
      <c r="R199" s="33">
        <f>N199+Qy!R239</f>
        <v>77.275079726817992</v>
      </c>
      <c r="T199" s="59"/>
      <c r="W199" s="59"/>
      <c r="X199" s="59"/>
      <c r="AB199" s="59"/>
      <c r="AM199" s="79"/>
      <c r="AS199" s="78"/>
    </row>
    <row r="200" spans="1:45">
      <c r="B200" s="4">
        <v>3400</v>
      </c>
      <c r="C200">
        <v>7.22844</v>
      </c>
      <c r="D200">
        <f>64*0.92*0.104588</f>
        <v>6.1581414400000005</v>
      </c>
      <c r="E200">
        <f t="shared" si="30"/>
        <v>0.62546163200000005</v>
      </c>
      <c r="F200">
        <v>1.44689E-2</v>
      </c>
      <c r="G200">
        <v>6.7764000000000001E-3</v>
      </c>
      <c r="H200" s="7">
        <v>0.1084266</v>
      </c>
      <c r="I200" s="7">
        <v>0.1084266</v>
      </c>
      <c r="J200" s="4">
        <f t="shared" si="31"/>
        <v>0.1084266</v>
      </c>
      <c r="K200" s="49">
        <v>200</v>
      </c>
      <c r="L200" s="5">
        <v>1</v>
      </c>
      <c r="M200" s="7">
        <v>5.4987440330000004</v>
      </c>
      <c r="N200">
        <f t="shared" si="26"/>
        <v>44.513755910553606</v>
      </c>
      <c r="O200">
        <f t="shared" si="32"/>
        <v>0.10458757551599973</v>
      </c>
      <c r="P200">
        <f t="shared" si="33"/>
        <v>4.8982800815998928E-2</v>
      </c>
      <c r="R200" s="33">
        <f>N200+Qy!R240</f>
        <v>85.008785382085676</v>
      </c>
      <c r="AM200" s="79"/>
      <c r="AS200" s="78"/>
    </row>
    <row r="201" spans="1:45">
      <c r="B201" s="4">
        <v>3400</v>
      </c>
      <c r="C201">
        <v>7.7833699999999997</v>
      </c>
      <c r="D201">
        <f>64*0.92*0.109251</f>
        <v>6.4326988800000002</v>
      </c>
      <c r="E201">
        <f t="shared" si="30"/>
        <v>0.61296081920000001</v>
      </c>
      <c r="F201">
        <v>1.40365E-2</v>
      </c>
      <c r="G201">
        <v>6.7841799999999999E-3</v>
      </c>
      <c r="H201" s="7">
        <v>0.11675054999999999</v>
      </c>
      <c r="I201" s="7">
        <v>0.11675054999999999</v>
      </c>
      <c r="J201" s="4">
        <f t="shared" si="31"/>
        <v>0.11675054999999999</v>
      </c>
      <c r="K201" s="49">
        <v>200</v>
      </c>
      <c r="L201" s="5">
        <v>1</v>
      </c>
      <c r="M201" s="7">
        <v>5.9799299079999999</v>
      </c>
      <c r="N201">
        <f t="shared" si="26"/>
        <v>50.068075481625598</v>
      </c>
      <c r="O201">
        <f t="shared" si="32"/>
        <v>0.10925127300500037</v>
      </c>
      <c r="P201">
        <f t="shared" si="33"/>
        <v>5.2803783086602607E-2</v>
      </c>
      <c r="R201" s="33">
        <f>N201+Qy!R241</f>
        <v>93.628603461479557</v>
      </c>
      <c r="AM201" s="79"/>
      <c r="AS201" s="78"/>
    </row>
    <row r="202" spans="1:45">
      <c r="B202" s="4">
        <v>3400</v>
      </c>
      <c r="C202">
        <v>8.3809000000000005</v>
      </c>
      <c r="D202">
        <f>64*0.92*0.113863</f>
        <v>6.7042534400000005</v>
      </c>
      <c r="E202">
        <f t="shared" si="30"/>
        <v>0.61353725439999995</v>
      </c>
      <c r="F202">
        <v>1.3586000000000001E-2</v>
      </c>
      <c r="G202">
        <v>7.2542600000000002E-3</v>
      </c>
      <c r="H202" s="7">
        <v>0.12571350000000001</v>
      </c>
      <c r="I202" s="7">
        <v>0.12571350000000001</v>
      </c>
      <c r="J202" s="4">
        <f t="shared" si="31"/>
        <v>0.12571350000000001</v>
      </c>
      <c r="K202" s="49">
        <v>200</v>
      </c>
      <c r="L202" s="5">
        <v>1</v>
      </c>
      <c r="M202" s="7">
        <v>6.5354587530000003</v>
      </c>
      <c r="N202">
        <f t="shared" si="26"/>
        <v>56.187677655296007</v>
      </c>
      <c r="O202">
        <f t="shared" si="32"/>
        <v>0.11386290739999794</v>
      </c>
      <c r="P202">
        <f t="shared" si="33"/>
        <v>6.0797227633997863E-2</v>
      </c>
      <c r="R202" s="33">
        <f>N202+Qy!R242</f>
        <v>103.21228297925941</v>
      </c>
      <c r="AM202" s="79"/>
      <c r="AS202" s="78"/>
    </row>
    <row r="203" spans="1:45">
      <c r="B203" s="4">
        <v>3400</v>
      </c>
      <c r="C203">
        <v>9.0243099999999998</v>
      </c>
      <c r="D203">
        <f>64*0.92*0.118389</f>
        <v>6.9707443199999997</v>
      </c>
      <c r="E203">
        <f t="shared" si="30"/>
        <v>0.60993909759999998</v>
      </c>
      <c r="F203">
        <v>1.3118899999999999E-2</v>
      </c>
      <c r="G203">
        <v>7.5991399999999999E-3</v>
      </c>
      <c r="H203" s="7">
        <v>0.13536465</v>
      </c>
      <c r="I203" s="7">
        <v>0.13536465</v>
      </c>
      <c r="J203" s="4">
        <f t="shared" si="31"/>
        <v>0.13536465</v>
      </c>
      <c r="K203" s="49">
        <v>200</v>
      </c>
      <c r="L203" s="5">
        <v>1</v>
      </c>
      <c r="M203" s="7">
        <v>7.174564782</v>
      </c>
      <c r="N203">
        <f t="shared" ref="N203:N275" si="34">C203*D203*L203</f>
        <v>62.906157674419198</v>
      </c>
      <c r="O203">
        <f t="shared" si="32"/>
        <v>0.11838902045899857</v>
      </c>
      <c r="P203">
        <f t="shared" si="33"/>
        <v>6.8576995093401649E-2</v>
      </c>
      <c r="R203" s="33">
        <f>N203+Qy!R243</f>
        <v>113.82174270977674</v>
      </c>
      <c r="AM203" s="79"/>
      <c r="AS203" s="78"/>
    </row>
    <row r="204" spans="1:45">
      <c r="B204" s="4">
        <v>3400</v>
      </c>
      <c r="C204">
        <v>9.7171099999999999</v>
      </c>
      <c r="D204">
        <f>64*0.92*0.122796</f>
        <v>7.2302284800000001</v>
      </c>
      <c r="E204">
        <f t="shared" si="30"/>
        <v>0.60178657280000003</v>
      </c>
      <c r="F204">
        <v>1.26371E-2</v>
      </c>
      <c r="G204">
        <v>7.8040200000000001E-3</v>
      </c>
      <c r="H204" s="7">
        <v>0.14575664999999999</v>
      </c>
      <c r="I204" s="7">
        <v>0.14575664999999999</v>
      </c>
      <c r="J204" s="4">
        <f t="shared" si="31"/>
        <v>0.14575664999999999</v>
      </c>
      <c r="K204" s="49">
        <v>200</v>
      </c>
      <c r="L204" s="5">
        <v>1</v>
      </c>
      <c r="M204" s="7">
        <v>7.9026230829999999</v>
      </c>
      <c r="N204">
        <f t="shared" si="34"/>
        <v>70.256925465292795</v>
      </c>
      <c r="O204">
        <f t="shared" si="32"/>
        <v>0.12279609078100862</v>
      </c>
      <c r="P204">
        <f t="shared" si="33"/>
        <v>7.5832520782199708E-2</v>
      </c>
      <c r="R204" s="33">
        <f>N204+Qy!R244</f>
        <v>125.48933648087461</v>
      </c>
      <c r="AM204" s="79"/>
      <c r="AS204" s="78"/>
    </row>
    <row r="205" spans="1:45">
      <c r="B205" s="4">
        <v>3400</v>
      </c>
      <c r="C205">
        <v>10.463100000000001</v>
      </c>
      <c r="D205">
        <f>64*0.92*0.127054</f>
        <v>7.4809395200000006</v>
      </c>
      <c r="E205">
        <f t="shared" si="30"/>
        <v>0.58880706559999996</v>
      </c>
      <c r="F205">
        <v>1.2142999999999999E-2</v>
      </c>
      <c r="G205">
        <v>7.8572399999999997E-3</v>
      </c>
      <c r="H205" s="7">
        <v>0.15694649999999999</v>
      </c>
      <c r="I205" s="7">
        <v>0.15694649999999999</v>
      </c>
      <c r="J205" s="4">
        <f t="shared" si="31"/>
        <v>0.15694650000000002</v>
      </c>
      <c r="K205" s="49">
        <v>200</v>
      </c>
      <c r="L205" s="5">
        <v>1</v>
      </c>
      <c r="M205" s="7">
        <v>8.7173798530000006</v>
      </c>
      <c r="N205">
        <f t="shared" si="34"/>
        <v>78.273818291712018</v>
      </c>
      <c r="O205">
        <f t="shared" si="32"/>
        <v>0.1270534232999978</v>
      </c>
      <c r="P205">
        <f t="shared" si="33"/>
        <v>8.221108784400144E-2</v>
      </c>
      <c r="R205" s="33">
        <f>N205+Qy!R245</f>
        <v>138.20033169141379</v>
      </c>
      <c r="AM205" s="79"/>
      <c r="AS205" s="78"/>
    </row>
    <row r="206" spans="1:45">
      <c r="B206" s="4">
        <v>3400</v>
      </c>
      <c r="C206">
        <v>11.266299999999999</v>
      </c>
      <c r="D206">
        <f>64*0.92*0.131141</f>
        <v>7.721582080000001</v>
      </c>
      <c r="E206">
        <f t="shared" si="30"/>
        <v>0.57091461119999998</v>
      </c>
      <c r="F206">
        <v>1.1639999999999999E-2</v>
      </c>
      <c r="G206">
        <v>7.75248E-3</v>
      </c>
      <c r="H206" s="7">
        <v>0.16899449999999999</v>
      </c>
      <c r="I206" s="7">
        <v>0.16899449999999999</v>
      </c>
      <c r="J206" s="4">
        <f t="shared" si="31"/>
        <v>0.16899449999999999</v>
      </c>
      <c r="K206" s="49">
        <v>200</v>
      </c>
      <c r="L206" s="5">
        <v>1</v>
      </c>
      <c r="M206" s="7">
        <v>9.6192088049999995</v>
      </c>
      <c r="N206">
        <f t="shared" si="34"/>
        <v>86.993660187904013</v>
      </c>
      <c r="O206">
        <f t="shared" si="32"/>
        <v>0.13113973199999407</v>
      </c>
      <c r="P206">
        <f t="shared" si="33"/>
        <v>8.7341765424000073E-2</v>
      </c>
      <c r="R206" s="33">
        <f>N206+Qy!R246</f>
        <v>151.95910756128379</v>
      </c>
      <c r="AM206" s="79"/>
      <c r="AS206" s="78"/>
    </row>
    <row r="207" spans="1:45">
      <c r="B207" s="4">
        <v>3400</v>
      </c>
      <c r="C207">
        <v>12.1313</v>
      </c>
      <c r="D207">
        <f>64*0.92*0.135048</f>
        <v>7.9516262400000004</v>
      </c>
      <c r="E207">
        <f t="shared" si="30"/>
        <v>0.54829144320000001</v>
      </c>
      <c r="F207">
        <v>1.1132299999999999E-2</v>
      </c>
      <c r="G207">
        <v>7.4917300000000003E-3</v>
      </c>
      <c r="H207" s="7">
        <v>0.18196950000000001</v>
      </c>
      <c r="I207" s="7">
        <v>0.18196950000000001</v>
      </c>
      <c r="J207" s="4">
        <f t="shared" si="31"/>
        <v>0.18196949999999998</v>
      </c>
      <c r="K207" s="49">
        <v>200</v>
      </c>
      <c r="L207" s="5">
        <v>1</v>
      </c>
      <c r="M207" s="7">
        <v>10.615628279999999</v>
      </c>
      <c r="N207">
        <f t="shared" si="34"/>
        <v>96.463563405312001</v>
      </c>
      <c r="O207">
        <f t="shared" si="32"/>
        <v>0.13504927098999531</v>
      </c>
      <c r="P207">
        <f t="shared" si="33"/>
        <v>9.088442414899589E-2</v>
      </c>
      <c r="R207" s="33">
        <f>N207+Qy!R247</f>
        <v>166.81895643961002</v>
      </c>
      <c r="AM207" s="79"/>
      <c r="AS207" s="78"/>
    </row>
    <row r="208" spans="1:45">
      <c r="B208" s="4">
        <v>3400</v>
      </c>
      <c r="C208">
        <v>13.0626</v>
      </c>
      <c r="D208">
        <f>64*0.92*0.13879</f>
        <v>8.1719551999999993</v>
      </c>
      <c r="E208">
        <f t="shared" si="30"/>
        <v>0.52150899200000012</v>
      </c>
      <c r="F208">
        <v>1.0625000000000001E-2</v>
      </c>
      <c r="G208">
        <v>7.0892999999999998E-3</v>
      </c>
      <c r="H208" s="7">
        <v>0.195939</v>
      </c>
      <c r="I208" s="7">
        <v>0.195939</v>
      </c>
      <c r="J208" s="4">
        <f t="shared" si="31"/>
        <v>0.195939</v>
      </c>
      <c r="K208" s="49">
        <v>200</v>
      </c>
      <c r="L208" s="5">
        <v>1</v>
      </c>
      <c r="M208" s="7">
        <v>11.713839309999999</v>
      </c>
      <c r="N208">
        <f t="shared" si="34"/>
        <v>106.74698199551999</v>
      </c>
      <c r="O208">
        <f t="shared" si="32"/>
        <v>0.13879012499998566</v>
      </c>
      <c r="P208">
        <f t="shared" si="33"/>
        <v>9.2604690180010607E-2</v>
      </c>
      <c r="R208" s="33">
        <f>N208+Qy!R248</f>
        <v>182.8438700751239</v>
      </c>
      <c r="AM208" s="79"/>
      <c r="AS208" s="78"/>
    </row>
    <row r="209" spans="2:45">
      <c r="B209" s="4">
        <v>3400</v>
      </c>
      <c r="C209">
        <v>14.0654</v>
      </c>
      <c r="D209">
        <f>64*0.92*0.142409</f>
        <v>8.3850419200000008</v>
      </c>
      <c r="E209">
        <f t="shared" si="30"/>
        <v>0.4917071744</v>
      </c>
      <c r="F209">
        <v>1.01248E-2</v>
      </c>
      <c r="G209">
        <v>6.57721E-3</v>
      </c>
      <c r="H209" s="7">
        <v>0.210981</v>
      </c>
      <c r="I209" s="7">
        <v>0.210981</v>
      </c>
      <c r="J209" s="4">
        <f t="shared" si="31"/>
        <v>0.210981</v>
      </c>
      <c r="K209" s="49">
        <v>200</v>
      </c>
      <c r="L209" s="5">
        <v>1</v>
      </c>
      <c r="M209" s="7">
        <v>12.920697049999999</v>
      </c>
      <c r="N209">
        <f t="shared" si="34"/>
        <v>117.93896862156801</v>
      </c>
      <c r="O209">
        <f t="shared" si="32"/>
        <v>0.1424093619200022</v>
      </c>
      <c r="P209">
        <f t="shared" si="33"/>
        <v>9.2511089533985569E-2</v>
      </c>
      <c r="R209" s="33">
        <f>N209+Qy!R249</f>
        <v>200.12435654539902</v>
      </c>
      <c r="AM209" s="79"/>
      <c r="AS209" s="78"/>
    </row>
    <row r="210" spans="2:45">
      <c r="B210" s="4">
        <v>3400</v>
      </c>
      <c r="C210">
        <v>15.145200000000001</v>
      </c>
      <c r="D210">
        <f>64*0.92*0.145995</f>
        <v>8.5961856000000019</v>
      </c>
      <c r="E210">
        <f t="shared" si="30"/>
        <v>0.46079016960000002</v>
      </c>
      <c r="F210">
        <v>9.6396599999999995E-3</v>
      </c>
      <c r="G210">
        <v>6.0121799999999998E-3</v>
      </c>
      <c r="H210" s="7">
        <v>0.22717799999999999</v>
      </c>
      <c r="I210" s="7">
        <v>0.22717799999999999</v>
      </c>
      <c r="J210" s="4">
        <f t="shared" si="31"/>
        <v>0.22717799999999999</v>
      </c>
      <c r="K210" s="49">
        <v>200</v>
      </c>
      <c r="L210" s="5">
        <v>1</v>
      </c>
      <c r="M210" s="7">
        <v>14.241985270000001</v>
      </c>
      <c r="N210">
        <f t="shared" si="34"/>
        <v>130.19095014912003</v>
      </c>
      <c r="O210">
        <f t="shared" si="32"/>
        <v>0.14599457863201337</v>
      </c>
      <c r="P210">
        <f t="shared" si="33"/>
        <v>9.1055668536000667E-2</v>
      </c>
      <c r="R210" s="33">
        <f>N210+Qy!R250</f>
        <v>218.7995455029839</v>
      </c>
      <c r="AM210" s="79"/>
      <c r="AS210" s="78"/>
    </row>
    <row r="211" spans="2:45">
      <c r="B211" s="4">
        <v>3400</v>
      </c>
      <c r="C211">
        <v>16.3079</v>
      </c>
      <c r="D211">
        <f>64*0.92*0.149647</f>
        <v>8.8112153600000003</v>
      </c>
      <c r="E211">
        <f t="shared" si="30"/>
        <v>0.46725902080000009</v>
      </c>
      <c r="F211">
        <v>9.1763399999999998E-3</v>
      </c>
      <c r="G211">
        <v>6.6952299999999999E-3</v>
      </c>
      <c r="H211" s="7">
        <v>0.24461849999999999</v>
      </c>
      <c r="I211" s="7">
        <v>0.24461849999999999</v>
      </c>
      <c r="J211" s="4">
        <f t="shared" si="31"/>
        <v>0.24461849999999999</v>
      </c>
      <c r="K211" s="49">
        <v>200</v>
      </c>
      <c r="L211" s="5">
        <v>1</v>
      </c>
      <c r="M211" s="7">
        <v>15.681743089999999</v>
      </c>
      <c r="N211">
        <f t="shared" si="34"/>
        <v>143.692418969344</v>
      </c>
      <c r="O211">
        <f t="shared" si="32"/>
        <v>0.14964683508600274</v>
      </c>
      <c r="P211">
        <f t="shared" si="33"/>
        <v>0.10918514131699908</v>
      </c>
      <c r="R211" s="33">
        <f>N211+Qy!R251</f>
        <v>239.03726484959429</v>
      </c>
      <c r="AM211" s="79"/>
      <c r="AS211" s="78"/>
    </row>
    <row r="212" spans="2:45">
      <c r="B212" s="4">
        <v>3400</v>
      </c>
      <c r="C212">
        <v>17.559899999999999</v>
      </c>
      <c r="D212">
        <f>64*0.92*0.153368</f>
        <v>9.0303078400000008</v>
      </c>
      <c r="E212">
        <f t="shared" si="30"/>
        <v>0.48432715520000003</v>
      </c>
      <c r="F212">
        <v>8.7340200000000003E-3</v>
      </c>
      <c r="G212">
        <v>7.7173099999999998E-3</v>
      </c>
      <c r="H212" s="7">
        <v>0.26339849999999998</v>
      </c>
      <c r="I212" s="7">
        <v>0.26339849999999998</v>
      </c>
      <c r="J212" s="4">
        <f t="shared" si="31"/>
        <v>0.26339849999999998</v>
      </c>
      <c r="K212" s="49">
        <v>200</v>
      </c>
      <c r="L212" s="5">
        <v>1</v>
      </c>
      <c r="M212" s="7">
        <v>17.241793099999999</v>
      </c>
      <c r="N212">
        <f t="shared" si="34"/>
        <v>158.57130263961599</v>
      </c>
      <c r="O212">
        <f t="shared" si="32"/>
        <v>0.15336851779801464</v>
      </c>
      <c r="P212">
        <f t="shared" si="33"/>
        <v>0.13551519186898986</v>
      </c>
      <c r="R212" s="33">
        <f>N212+Qy!R252</f>
        <v>260.93435864575133</v>
      </c>
      <c r="AM212" s="79"/>
      <c r="AS212" s="78"/>
    </row>
    <row r="213" spans="2:45">
      <c r="B213" s="4">
        <v>3400</v>
      </c>
      <c r="C213">
        <v>18.908000000000001</v>
      </c>
      <c r="D213">
        <f>64*0.92*0.157139</f>
        <v>9.2523443200000006</v>
      </c>
      <c r="E213">
        <f t="shared" si="30"/>
        <v>0.50249251840000009</v>
      </c>
      <c r="F213">
        <v>8.3107400000000005E-3</v>
      </c>
      <c r="G213">
        <v>8.7576200000000007E-3</v>
      </c>
      <c r="H213" s="7">
        <v>0.28361999999999998</v>
      </c>
      <c r="I213" s="7">
        <v>0.28361999999999998</v>
      </c>
      <c r="J213" s="4">
        <f t="shared" si="31"/>
        <v>0.28361999999999998</v>
      </c>
      <c r="K213" s="49">
        <v>200</v>
      </c>
      <c r="L213" s="5">
        <v>1</v>
      </c>
      <c r="M213" s="7">
        <v>18.920901789999998</v>
      </c>
      <c r="N213">
        <f t="shared" si="34"/>
        <v>174.94332640256002</v>
      </c>
      <c r="O213">
        <f t="shared" si="32"/>
        <v>0.15713947192000433</v>
      </c>
      <c r="P213">
        <f t="shared" si="33"/>
        <v>0.16558907896001074</v>
      </c>
      <c r="R213" s="33">
        <f>N213+Qy!R253</f>
        <v>284.56477767491799</v>
      </c>
      <c r="AM213" s="79"/>
      <c r="AS213" s="78"/>
    </row>
    <row r="214" spans="2:45">
      <c r="B214" s="4">
        <v>3400</v>
      </c>
      <c r="C214">
        <v>20.359500000000001</v>
      </c>
      <c r="D214">
        <f>64*0.92*0.160936</f>
        <v>9.4759116799999994</v>
      </c>
      <c r="E214">
        <f t="shared" si="30"/>
        <v>0.50108705279999999</v>
      </c>
      <c r="F214">
        <v>7.2263099999999997E-3</v>
      </c>
      <c r="G214">
        <v>9.7943100000000005E-3</v>
      </c>
      <c r="H214" s="7">
        <v>0.30539250000000001</v>
      </c>
      <c r="I214" s="7">
        <v>0.30539250000000001</v>
      </c>
      <c r="J214" s="4">
        <f t="shared" si="31"/>
        <v>0.30539250000000001</v>
      </c>
      <c r="K214" s="49">
        <v>200</v>
      </c>
      <c r="L214" s="5">
        <v>1</v>
      </c>
      <c r="M214" s="7">
        <v>20.71439861</v>
      </c>
      <c r="N214">
        <f t="shared" si="34"/>
        <v>192.92482384895999</v>
      </c>
      <c r="O214">
        <f t="shared" si="32"/>
        <v>0.14712405844500154</v>
      </c>
      <c r="P214">
        <f t="shared" si="33"/>
        <v>0.19940725444499208</v>
      </c>
      <c r="R214" s="33">
        <f>N214+Qy!R254</f>
        <v>309.99356058561648</v>
      </c>
      <c r="AM214" s="79"/>
      <c r="AS214" s="78"/>
    </row>
    <row r="215" spans="2:45">
      <c r="B215" s="4">
        <v>3400</v>
      </c>
      <c r="C215">
        <v>21.922499999999999</v>
      </c>
      <c r="D215">
        <f>64*0.92*0.164733</f>
        <v>9.6994790399999999</v>
      </c>
      <c r="E215">
        <f t="shared" si="30"/>
        <v>0.54521408000000005</v>
      </c>
      <c r="F215">
        <v>7.7013999999999997E-3</v>
      </c>
      <c r="G215">
        <v>1.0818100000000001E-2</v>
      </c>
      <c r="H215" s="7">
        <v>0.3288375</v>
      </c>
      <c r="I215" s="7">
        <v>0.3288375</v>
      </c>
      <c r="J215" s="4">
        <f t="shared" si="31"/>
        <v>0.3288375</v>
      </c>
      <c r="K215" s="49">
        <v>200</v>
      </c>
      <c r="L215" s="5">
        <v>1</v>
      </c>
      <c r="M215" s="7">
        <v>22.614712130000001</v>
      </c>
      <c r="N215">
        <f t="shared" si="34"/>
        <v>212.6368292544</v>
      </c>
      <c r="O215">
        <f t="shared" si="32"/>
        <v>0.16883394149999731</v>
      </c>
      <c r="P215">
        <f t="shared" si="33"/>
        <v>0.23715979725000125</v>
      </c>
      <c r="R215" s="33">
        <f>N215+Qy!R255</f>
        <v>337.28562997386427</v>
      </c>
      <c r="AM215" s="79"/>
      <c r="AS215" s="78"/>
    </row>
    <row r="216" spans="2:45">
      <c r="B216" s="4">
        <v>3400</v>
      </c>
      <c r="C216">
        <v>23.605499999999999</v>
      </c>
      <c r="D216">
        <f>64*0.92*0.168501</f>
        <v>9.9213388800000004</v>
      </c>
      <c r="E216">
        <f t="shared" si="30"/>
        <v>0.58537082880000013</v>
      </c>
      <c r="F216">
        <v>8.0648200000000003E-3</v>
      </c>
      <c r="G216">
        <v>1.18187E-2</v>
      </c>
      <c r="H216" s="7">
        <v>0.35408250000000002</v>
      </c>
      <c r="I216" s="7">
        <v>0.35408250000000002</v>
      </c>
      <c r="J216" s="4">
        <f t="shared" si="31"/>
        <v>0.35408249999999997</v>
      </c>
      <c r="K216" s="49">
        <v>200</v>
      </c>
      <c r="L216" s="5">
        <v>1</v>
      </c>
      <c r="M216" s="7">
        <v>24.611951730000001</v>
      </c>
      <c r="N216">
        <f t="shared" si="34"/>
        <v>234.19816493184001</v>
      </c>
      <c r="O216">
        <f t="shared" si="32"/>
        <v>0.19037410850998526</v>
      </c>
      <c r="P216">
        <f t="shared" si="33"/>
        <v>0.27898632284998826</v>
      </c>
      <c r="R216" s="33">
        <f>N216+Qy!R256</f>
        <v>366.50275364886909</v>
      </c>
      <c r="AM216" s="79"/>
      <c r="AS216" s="78"/>
    </row>
    <row r="217" spans="2:45">
      <c r="B217" s="4">
        <v>3400</v>
      </c>
      <c r="C217">
        <v>25.4178</v>
      </c>
      <c r="D217">
        <f>64*0.92*0.172205</f>
        <v>10.1394304</v>
      </c>
      <c r="E217">
        <f t="shared" si="30"/>
        <v>0.62339023360000001</v>
      </c>
      <c r="F217">
        <v>8.3899400000000002E-3</v>
      </c>
      <c r="G217">
        <v>1.2784999999999999E-2</v>
      </c>
      <c r="H217" s="7">
        <v>0.38126700000000002</v>
      </c>
      <c r="I217" s="7">
        <v>0.38126700000000002</v>
      </c>
      <c r="J217" s="4">
        <f t="shared" si="31"/>
        <v>0.38126699999999997</v>
      </c>
      <c r="K217" s="49">
        <v>200</v>
      </c>
      <c r="L217" s="5">
        <v>1</v>
      </c>
      <c r="M217" s="7">
        <v>26.69701792</v>
      </c>
      <c r="N217">
        <f t="shared" si="34"/>
        <v>257.72201402112</v>
      </c>
      <c r="O217">
        <f t="shared" si="32"/>
        <v>0.21325381693202416</v>
      </c>
      <c r="P217">
        <f t="shared" si="33"/>
        <v>0.32496657299998333</v>
      </c>
      <c r="R217" s="33">
        <f>N217+Qy!R257</f>
        <v>397.71218263824437</v>
      </c>
      <c r="AM217" s="79"/>
      <c r="AS217" s="78"/>
    </row>
    <row r="218" spans="2:45">
      <c r="B218" s="4">
        <v>3400</v>
      </c>
      <c r="C218">
        <v>27.3691</v>
      </c>
      <c r="D218">
        <f>64*0.92*0.175813</f>
        <v>10.35186944</v>
      </c>
      <c r="E218">
        <f t="shared" si="30"/>
        <v>0.66569168639999998</v>
      </c>
      <c r="F218">
        <v>8.9070099999999999E-3</v>
      </c>
      <c r="G218">
        <v>1.37048E-2</v>
      </c>
      <c r="H218" s="7">
        <v>0.41053650000000003</v>
      </c>
      <c r="I218" s="7">
        <v>0.41053650000000003</v>
      </c>
      <c r="J218" s="4">
        <f t="shared" si="31"/>
        <v>0.41053649999999997</v>
      </c>
      <c r="K218" s="49">
        <v>200</v>
      </c>
      <c r="L218" s="5">
        <v>1</v>
      </c>
      <c r="M218" s="7">
        <v>28.86693455</v>
      </c>
      <c r="N218">
        <f t="shared" si="34"/>
        <v>283.32134989030396</v>
      </c>
      <c r="O218">
        <f t="shared" si="32"/>
        <v>0.24377684739101824</v>
      </c>
      <c r="P218">
        <f t="shared" si="33"/>
        <v>0.37508804167993048</v>
      </c>
      <c r="R218" s="33">
        <f>N218+Qy!R258</f>
        <v>431.00904439012169</v>
      </c>
      <c r="AM218" s="79"/>
      <c r="AS218" s="78"/>
    </row>
    <row r="219" spans="2:45">
      <c r="B219" s="4">
        <v>3400</v>
      </c>
      <c r="C219">
        <v>29.470199999999998</v>
      </c>
      <c r="D219">
        <f>64*0.92*0.179287</f>
        <v>10.556418560000001</v>
      </c>
      <c r="E219">
        <f t="shared" si="30"/>
        <v>0.70551694080000005</v>
      </c>
      <c r="F219">
        <v>9.3984700000000008E-3</v>
      </c>
      <c r="G219">
        <v>1.45661E-2</v>
      </c>
      <c r="H219" s="7">
        <v>0.44205299999999997</v>
      </c>
      <c r="I219" s="7">
        <v>0.44205299999999997</v>
      </c>
      <c r="J219" s="4">
        <f t="shared" si="31"/>
        <v>0.44205299999999997</v>
      </c>
      <c r="K219" s="49">
        <v>200</v>
      </c>
      <c r="L219" s="5">
        <v>1</v>
      </c>
      <c r="M219" s="7">
        <v>31.136021029999998</v>
      </c>
      <c r="N219">
        <f t="shared" si="34"/>
        <v>311.099766246912</v>
      </c>
      <c r="O219">
        <f t="shared" si="32"/>
        <v>0.27697479059401076</v>
      </c>
      <c r="P219">
        <f t="shared" si="33"/>
        <v>0.42926588021998668</v>
      </c>
      <c r="R219" s="33">
        <f>N219+Qy!R259</f>
        <v>466.53981973034331</v>
      </c>
      <c r="AM219" s="79"/>
      <c r="AS219" s="78"/>
    </row>
    <row r="220" spans="2:45">
      <c r="B220" s="4">
        <v>3400</v>
      </c>
      <c r="C220">
        <v>31.732700000000001</v>
      </c>
      <c r="D220">
        <f>64*0.92*0.182594</f>
        <v>10.751134720000001</v>
      </c>
      <c r="E220">
        <f t="shared" si="30"/>
        <v>0.74231223040000005</v>
      </c>
      <c r="F220">
        <v>9.8575099999999999E-3</v>
      </c>
      <c r="G220">
        <v>1.53569E-2</v>
      </c>
      <c r="H220" s="7">
        <v>0.47599049999999998</v>
      </c>
      <c r="I220" s="7">
        <v>0.47599049999999998</v>
      </c>
      <c r="J220" s="4">
        <f t="shared" si="31"/>
        <v>0.47599049999999998</v>
      </c>
      <c r="K220" s="49">
        <v>200</v>
      </c>
      <c r="L220" s="5">
        <v>1</v>
      </c>
      <c r="M220" s="7">
        <v>33.546194190000001</v>
      </c>
      <c r="N220">
        <f t="shared" si="34"/>
        <v>341.16253272934404</v>
      </c>
      <c r="O220">
        <f t="shared" si="32"/>
        <v>0.31280540757700237</v>
      </c>
      <c r="P220">
        <f t="shared" si="33"/>
        <v>0.4873159006299943</v>
      </c>
      <c r="R220" s="33">
        <f>N220+Qy!R260</f>
        <v>504.53587944360891</v>
      </c>
      <c r="AM220" s="79"/>
      <c r="AS220" s="78"/>
    </row>
    <row r="221" spans="2:45">
      <c r="B221" s="4">
        <v>3400</v>
      </c>
      <c r="C221">
        <v>34.168799999999997</v>
      </c>
      <c r="D221">
        <f>64*0.92*0.185702</f>
        <v>10.934133760000002</v>
      </c>
      <c r="E221">
        <f t="shared" si="30"/>
        <v>0.77556441600000015</v>
      </c>
      <c r="F221">
        <v>1.0277400000000001E-2</v>
      </c>
      <c r="G221">
        <v>1.6066500000000001E-2</v>
      </c>
      <c r="H221" s="7">
        <v>0.51253199999999999</v>
      </c>
      <c r="I221" s="7">
        <v>0.51253199999999999</v>
      </c>
      <c r="J221" s="4">
        <f t="shared" si="31"/>
        <v>0.51253199999999999</v>
      </c>
      <c r="K221" s="49">
        <v>200</v>
      </c>
      <c r="L221" s="5">
        <v>1</v>
      </c>
      <c r="M221" s="7">
        <v>36.126800879999998</v>
      </c>
      <c r="N221">
        <f t="shared" si="34"/>
        <v>373.60622961868802</v>
      </c>
      <c r="O221">
        <f t="shared" si="32"/>
        <v>0.35116642512002727</v>
      </c>
      <c r="P221">
        <f t="shared" si="33"/>
        <v>0.54897302520004132</v>
      </c>
      <c r="R221" s="33">
        <f>N221+Qy!R261</f>
        <v>545.16257191437035</v>
      </c>
      <c r="AM221" s="79"/>
      <c r="AS221" s="78"/>
    </row>
    <row r="222" spans="2:45">
      <c r="B222" s="4">
        <v>3400</v>
      </c>
      <c r="C222">
        <v>36.791899999999998</v>
      </c>
      <c r="D222">
        <f>64*0.92*0.188588</f>
        <v>11.104061440000001</v>
      </c>
      <c r="E222">
        <f t="shared" si="30"/>
        <v>0.80483955200000012</v>
      </c>
      <c r="F222">
        <v>1.0651900000000001E-2</v>
      </c>
      <c r="G222">
        <v>1.6686400000000001E-2</v>
      </c>
      <c r="H222" s="7">
        <v>0.55187850000000005</v>
      </c>
      <c r="I222" s="7">
        <v>0.55187850000000005</v>
      </c>
      <c r="J222" s="4">
        <f t="shared" si="31"/>
        <v>0.55187849999999994</v>
      </c>
      <c r="K222" s="49">
        <v>200</v>
      </c>
      <c r="L222" s="5">
        <v>1</v>
      </c>
      <c r="M222" s="7">
        <v>38.892862010000002</v>
      </c>
      <c r="N222">
        <f t="shared" si="34"/>
        <v>408.53951809433602</v>
      </c>
      <c r="O222">
        <f t="shared" si="32"/>
        <v>0.39190363960995001</v>
      </c>
      <c r="P222">
        <f t="shared" si="33"/>
        <v>0.61392436016001284</v>
      </c>
      <c r="R222" s="33">
        <f>N222+Qy!R262</f>
        <v>588.54361793436306</v>
      </c>
      <c r="U222" s="59"/>
      <c r="Y222" s="59"/>
      <c r="AC222" s="59"/>
      <c r="AM222" s="79"/>
      <c r="AS222" s="78"/>
    </row>
    <row r="223" spans="2:45">
      <c r="B223" s="4">
        <v>3400</v>
      </c>
      <c r="C223">
        <v>39.616500000000002</v>
      </c>
      <c r="D223">
        <f>64*0.92*0.191239</f>
        <v>11.26015232</v>
      </c>
      <c r="E223">
        <f t="shared" si="30"/>
        <v>0.82986944000000007</v>
      </c>
      <c r="F223">
        <v>1.09759E-2</v>
      </c>
      <c r="G223">
        <v>1.7212600000000002E-2</v>
      </c>
      <c r="H223" s="7">
        <v>0.59424750000000004</v>
      </c>
      <c r="I223" s="7">
        <v>0.59424750000000004</v>
      </c>
      <c r="J223" s="4">
        <f t="shared" si="31"/>
        <v>0.59424750000000004</v>
      </c>
      <c r="K223" s="49">
        <v>200</v>
      </c>
      <c r="L223" s="5">
        <v>1</v>
      </c>
      <c r="M223" s="7">
        <v>41.863238989999999</v>
      </c>
      <c r="N223">
        <f t="shared" si="34"/>
        <v>446.08782438527999</v>
      </c>
      <c r="O223">
        <f t="shared" si="32"/>
        <v>0.43482674235002605</v>
      </c>
      <c r="P223">
        <f t="shared" si="33"/>
        <v>0.68190296789998683</v>
      </c>
      <c r="R223" s="33">
        <f>N223+Qy!R263</f>
        <v>634.82718818363333</v>
      </c>
      <c r="AM223" s="79"/>
      <c r="AS223" s="78"/>
    </row>
    <row r="224" spans="2:45">
      <c r="B224" s="4">
        <v>3400</v>
      </c>
      <c r="C224">
        <v>42.657800000000002</v>
      </c>
      <c r="D224">
        <f>64*0.92*0.193665</f>
        <v>11.402995200000001</v>
      </c>
      <c r="E224">
        <f t="shared" si="30"/>
        <v>0.85063052800000005</v>
      </c>
      <c r="F224">
        <v>1.1246600000000001E-2</v>
      </c>
      <c r="G224">
        <v>1.7647099999999999E-2</v>
      </c>
      <c r="H224" s="7">
        <v>0.63986699999999996</v>
      </c>
      <c r="I224" s="7">
        <v>0.63986699999999996</v>
      </c>
      <c r="J224" s="4">
        <f t="shared" si="31"/>
        <v>0.63986699999999996</v>
      </c>
      <c r="K224" s="49">
        <v>200</v>
      </c>
      <c r="L224" s="5">
        <v>1</v>
      </c>
      <c r="M224" s="7">
        <v>45.060648899999997</v>
      </c>
      <c r="N224">
        <f t="shared" si="34"/>
        <v>486.42668864256007</v>
      </c>
      <c r="O224">
        <f t="shared" si="32"/>
        <v>0.47975521348001848</v>
      </c>
      <c r="P224">
        <f t="shared" si="33"/>
        <v>0.75278646237995872</v>
      </c>
      <c r="R224" s="33">
        <f>N224+Qy!R264</f>
        <v>684.21764083617177</v>
      </c>
      <c r="AM224" s="79"/>
      <c r="AS224" s="78"/>
    </row>
    <row r="225" spans="2:45">
      <c r="B225" s="4">
        <v>3400</v>
      </c>
      <c r="C225">
        <v>45.932699999999997</v>
      </c>
      <c r="D225">
        <f>64*0.92*0.195903</f>
        <v>11.534768639999999</v>
      </c>
      <c r="E225">
        <f t="shared" si="30"/>
        <v>0.86747903999999998</v>
      </c>
      <c r="F225">
        <v>1.1464E-2</v>
      </c>
      <c r="G225">
        <v>1.8002000000000001E-2</v>
      </c>
      <c r="H225" s="7">
        <v>0.68899049999999995</v>
      </c>
      <c r="I225" s="7">
        <v>0.68899049999999995</v>
      </c>
      <c r="J225" s="4">
        <f t="shared" si="31"/>
        <v>0.68899049999999995</v>
      </c>
      <c r="K225" s="49">
        <v>200</v>
      </c>
      <c r="L225" s="5">
        <v>1</v>
      </c>
      <c r="M225" s="7">
        <v>48.514606690000001</v>
      </c>
      <c r="N225">
        <f t="shared" si="34"/>
        <v>529.82306751052795</v>
      </c>
      <c r="O225">
        <f t="shared" si="32"/>
        <v>0.52657247280001229</v>
      </c>
      <c r="P225">
        <f t="shared" si="33"/>
        <v>0.82688046539999505</v>
      </c>
      <c r="R225" s="33">
        <f>N225+Qy!R265</f>
        <v>737.02319651169159</v>
      </c>
      <c r="AM225" s="79"/>
      <c r="AS225" s="78"/>
    </row>
    <row r="226" spans="2:45">
      <c r="B226" s="4">
        <v>3400</v>
      </c>
      <c r="C226">
        <v>49.459000000000003</v>
      </c>
      <c r="D226">
        <f>64*0.92*0.198033</f>
        <v>11.66018304</v>
      </c>
      <c r="E226">
        <f t="shared" si="30"/>
        <v>0.88132761600000009</v>
      </c>
      <c r="F226">
        <v>1.16335E-2</v>
      </c>
      <c r="G226">
        <v>1.83029E-2</v>
      </c>
      <c r="H226" s="7">
        <v>0.74188500000000002</v>
      </c>
      <c r="I226" s="7">
        <v>0.74188500000000002</v>
      </c>
      <c r="J226" s="4">
        <f t="shared" si="31"/>
        <v>0.74188500000000002</v>
      </c>
      <c r="K226" s="49">
        <v>200</v>
      </c>
      <c r="L226" s="5">
        <v>1</v>
      </c>
      <c r="M226" s="7">
        <v>52.26025439</v>
      </c>
      <c r="N226">
        <f t="shared" si="34"/>
        <v>576.70099297536001</v>
      </c>
      <c r="O226">
        <f t="shared" si="32"/>
        <v>0.5753812765000248</v>
      </c>
      <c r="P226">
        <f t="shared" si="33"/>
        <v>0.90524313109995092</v>
      </c>
      <c r="R226" s="33">
        <f>N226+Qy!R266</f>
        <v>793.71574694750439</v>
      </c>
      <c r="AM226" s="79"/>
      <c r="AS226" s="78"/>
    </row>
    <row r="227" spans="2:45">
      <c r="B227" s="4">
        <v>3400</v>
      </c>
      <c r="C227">
        <v>53.255899999999997</v>
      </c>
      <c r="D227">
        <f>64*0.92*0.200174</f>
        <v>11.78624512</v>
      </c>
      <c r="E227">
        <f t="shared" si="30"/>
        <v>0.93805849600000002</v>
      </c>
      <c r="F227">
        <v>1.2543E-2</v>
      </c>
      <c r="G227">
        <v>1.9320400000000001E-2</v>
      </c>
      <c r="H227" s="7">
        <v>0.79883850000000001</v>
      </c>
      <c r="I227" s="7">
        <v>0.79883850000000001</v>
      </c>
      <c r="J227" s="4">
        <f t="shared" si="31"/>
        <v>0.7988384999999999</v>
      </c>
      <c r="K227" s="49">
        <v>200</v>
      </c>
      <c r="L227" s="5">
        <v>1</v>
      </c>
      <c r="M227" s="7">
        <v>56.33873389</v>
      </c>
      <c r="N227">
        <f t="shared" si="34"/>
        <v>627.68709148620803</v>
      </c>
      <c r="O227">
        <f t="shared" si="32"/>
        <v>0.66798875370000133</v>
      </c>
      <c r="P227">
        <f t="shared" si="33"/>
        <v>1.0289252903600072</v>
      </c>
      <c r="R227" s="33">
        <f>N227+Qy!R267</f>
        <v>854.97529786699783</v>
      </c>
      <c r="AM227" s="79"/>
      <c r="AS227" s="78"/>
    </row>
    <row r="228" spans="2:45">
      <c r="B228" s="4">
        <v>3400</v>
      </c>
      <c r="C228">
        <v>57.3444</v>
      </c>
      <c r="D228">
        <f>64*0.92*0.202358</f>
        <v>11.91483904</v>
      </c>
      <c r="E228">
        <f t="shared" si="30"/>
        <v>1.0030296320000001</v>
      </c>
      <c r="F228">
        <v>1.3598300000000001E-2</v>
      </c>
      <c r="G228">
        <v>2.0472000000000001E-2</v>
      </c>
      <c r="H228" s="7">
        <v>0.86016599999999999</v>
      </c>
      <c r="I228" s="7">
        <v>0.86016599999999999</v>
      </c>
      <c r="J228" s="4">
        <f t="shared" si="31"/>
        <v>0.86016599999999999</v>
      </c>
      <c r="K228" s="49">
        <v>200</v>
      </c>
      <c r="L228" s="5">
        <v>1</v>
      </c>
      <c r="M228" s="7">
        <v>60.797315169999997</v>
      </c>
      <c r="N228">
        <f t="shared" si="34"/>
        <v>683.24929584537597</v>
      </c>
      <c r="O228">
        <f t="shared" si="32"/>
        <v>0.77978635452006984</v>
      </c>
      <c r="P228">
        <f t="shared" si="33"/>
        <v>1.173954556799913</v>
      </c>
      <c r="R228" s="33">
        <f>N228+Qy!R268</f>
        <v>921.32699976221409</v>
      </c>
      <c r="AM228" s="79"/>
      <c r="AS228" s="78"/>
    </row>
    <row r="229" spans="2:45">
      <c r="B229" s="4">
        <v>3400</v>
      </c>
      <c r="C229">
        <v>61.7468</v>
      </c>
      <c r="D229">
        <f>64*0.92*0.204574</f>
        <v>12.04531712</v>
      </c>
      <c r="E229">
        <f t="shared" si="30"/>
        <v>1.0682421759999998</v>
      </c>
      <c r="F229">
        <v>1.46622E-2</v>
      </c>
      <c r="G229">
        <v>2.1623199999999999E-2</v>
      </c>
      <c r="H229" s="7">
        <v>0.92620199999999997</v>
      </c>
      <c r="I229" s="7">
        <v>0.92620199999999997</v>
      </c>
      <c r="J229" s="4">
        <f t="shared" si="31"/>
        <v>0.92620199999999997</v>
      </c>
      <c r="K229" s="49">
        <v>200</v>
      </c>
      <c r="L229" s="5">
        <v>1</v>
      </c>
      <c r="M229" s="7">
        <v>65.682465669999999</v>
      </c>
      <c r="N229">
        <f t="shared" si="34"/>
        <v>743.75978714521602</v>
      </c>
      <c r="O229">
        <f t="shared" si="32"/>
        <v>0.90534393095992982</v>
      </c>
      <c r="P229">
        <f t="shared" si="33"/>
        <v>1.3351634057599995</v>
      </c>
      <c r="R229" s="33">
        <f>N229+Qy!R269</f>
        <v>993.18647006940944</v>
      </c>
      <c r="AM229" s="79"/>
      <c r="AS229" s="78"/>
    </row>
    <row r="230" spans="2:45">
      <c r="B230" s="4">
        <v>3400</v>
      </c>
      <c r="C230">
        <v>66.487099999999998</v>
      </c>
      <c r="D230">
        <f>64*0.92*0.206807</f>
        <v>12.17679616</v>
      </c>
      <c r="E230">
        <f t="shared" si="30"/>
        <v>1.1376558080000001</v>
      </c>
      <c r="F230">
        <v>1.5726500000000001E-2</v>
      </c>
      <c r="G230">
        <v>2.2916700000000002E-2</v>
      </c>
      <c r="H230" s="7">
        <v>0.99730649999999998</v>
      </c>
      <c r="I230" s="7">
        <v>0.99730649999999998</v>
      </c>
      <c r="J230" s="4">
        <f t="shared" si="31"/>
        <v>0.99730649999999998</v>
      </c>
      <c r="K230" s="49">
        <v>200</v>
      </c>
      <c r="L230" s="5">
        <v>1</v>
      </c>
      <c r="M230" s="7">
        <v>71.03150626</v>
      </c>
      <c r="N230">
        <f t="shared" si="34"/>
        <v>809.59986396953605</v>
      </c>
      <c r="O230">
        <f t="shared" si="32"/>
        <v>1.0456093781499476</v>
      </c>
      <c r="P230">
        <f t="shared" si="33"/>
        <v>1.5236649245699709</v>
      </c>
      <c r="R230" s="33">
        <f>N230+Qy!R270</f>
        <v>1070.9480561944404</v>
      </c>
      <c r="AM230" s="79"/>
      <c r="AS230" s="78"/>
    </row>
    <row r="231" spans="2:45">
      <c r="B231" s="4">
        <v>3400</v>
      </c>
      <c r="C231">
        <v>71.591300000000004</v>
      </c>
      <c r="D231">
        <f>64*0.92*0.20904</f>
        <v>12.308275200000001</v>
      </c>
      <c r="E231">
        <f t="shared" si="30"/>
        <v>1.2283545599999999</v>
      </c>
      <c r="F231">
        <v>1.6781500000000001E-2</v>
      </c>
      <c r="G231">
        <v>2.4942499999999999E-2</v>
      </c>
      <c r="H231" s="7">
        <v>1.0738695</v>
      </c>
      <c r="I231" s="7">
        <v>1.0738695</v>
      </c>
      <c r="J231" s="4">
        <f t="shared" si="31"/>
        <v>1.0738695</v>
      </c>
      <c r="K231" s="49">
        <v>200</v>
      </c>
      <c r="L231" s="5">
        <v>1</v>
      </c>
      <c r="M231" s="7">
        <v>76.853492329999995</v>
      </c>
      <c r="N231">
        <f t="shared" si="34"/>
        <v>881.16542232576012</v>
      </c>
      <c r="O231">
        <f t="shared" si="32"/>
        <v>1.2014094009499559</v>
      </c>
      <c r="P231">
        <f t="shared" si="33"/>
        <v>1.7856660002499893</v>
      </c>
      <c r="R231" s="33">
        <f>N231+Qy!R271</f>
        <v>1154.955678517621</v>
      </c>
      <c r="AM231" s="79"/>
      <c r="AS231" s="78"/>
    </row>
    <row r="232" spans="2:45">
      <c r="B232" s="4">
        <v>3400</v>
      </c>
      <c r="C232">
        <v>77.087400000000002</v>
      </c>
      <c r="D232">
        <f>64*0.92*0.211254</f>
        <v>12.43863552</v>
      </c>
      <c r="E232">
        <f t="shared" si="30"/>
        <v>1.3235546880000002</v>
      </c>
      <c r="F232">
        <v>1.7815899999999999E-2</v>
      </c>
      <c r="G232">
        <v>2.7141800000000001E-2</v>
      </c>
      <c r="H232" s="7">
        <v>1.1563110000000001</v>
      </c>
      <c r="I232" s="7">
        <v>1.1563110000000001</v>
      </c>
      <c r="J232" s="4">
        <f t="shared" si="31"/>
        <v>1.1563110000000001</v>
      </c>
      <c r="K232" s="49">
        <v>200</v>
      </c>
      <c r="L232" s="5">
        <v>1</v>
      </c>
      <c r="M232" s="7">
        <v>83.099850410000002</v>
      </c>
      <c r="N232">
        <f t="shared" si="34"/>
        <v>958.86207178444806</v>
      </c>
      <c r="O232">
        <f t="shared" si="32"/>
        <v>1.3733814096600554</v>
      </c>
      <c r="P232">
        <f t="shared" si="33"/>
        <v>2.0922907933201031</v>
      </c>
      <c r="R232" s="33">
        <f>N232+Qy!R272</f>
        <v>1245.4522669001531</v>
      </c>
      <c r="AM232" s="79"/>
      <c r="AS232" s="78"/>
    </row>
    <row r="233" spans="2:45">
      <c r="B233" s="4">
        <v>3400</v>
      </c>
      <c r="C233">
        <v>83.005399999999995</v>
      </c>
      <c r="D233">
        <f>64*0.92*0.213427</f>
        <v>12.56658176</v>
      </c>
      <c r="E233">
        <f t="shared" si="30"/>
        <v>1.4232208640000001</v>
      </c>
      <c r="F233">
        <v>1.88171E-2</v>
      </c>
      <c r="G233">
        <v>2.9526E-2</v>
      </c>
      <c r="H233" s="7">
        <v>1.2450810000000001</v>
      </c>
      <c r="I233" s="7">
        <v>1.2450810000000001</v>
      </c>
      <c r="J233" s="4">
        <f t="shared" si="31"/>
        <v>1.2450809999999999</v>
      </c>
      <c r="K233" s="49">
        <v>200</v>
      </c>
      <c r="L233" s="5">
        <v>1</v>
      </c>
      <c r="M233" s="7">
        <v>89.703333130000004</v>
      </c>
      <c r="N233">
        <f t="shared" si="34"/>
        <v>1043.0941456215039</v>
      </c>
      <c r="O233">
        <f t="shared" si="32"/>
        <v>1.5619209123399287</v>
      </c>
      <c r="P233">
        <f t="shared" si="33"/>
        <v>2.4508174403999874</v>
      </c>
      <c r="R233" s="33">
        <f>N233+Qy!R273</f>
        <v>1342.6672165933182</v>
      </c>
      <c r="AM233" s="79"/>
      <c r="AS233" s="78"/>
    </row>
    <row r="234" spans="2:45">
      <c r="B234" s="4">
        <v>3400</v>
      </c>
      <c r="C234">
        <v>89.377799999999993</v>
      </c>
      <c r="D234">
        <f>64*0.92*0.215532</f>
        <v>12.690524160000001</v>
      </c>
      <c r="E234">
        <f t="shared" si="30"/>
        <v>1.527264768</v>
      </c>
      <c r="F234">
        <v>1.9770900000000001E-2</v>
      </c>
      <c r="G234">
        <v>3.2106299999999997E-2</v>
      </c>
      <c r="H234" s="7">
        <v>1.3406670000000001</v>
      </c>
      <c r="I234" s="7">
        <v>1.3406670000000001</v>
      </c>
      <c r="J234" s="4">
        <f t="shared" si="31"/>
        <v>1.3406669999999998</v>
      </c>
      <c r="K234" s="49">
        <v>200</v>
      </c>
      <c r="L234" s="5">
        <v>1</v>
      </c>
      <c r="M234" s="7">
        <v>96.662294500000002</v>
      </c>
      <c r="N234">
        <f t="shared" si="34"/>
        <v>1134.251130267648</v>
      </c>
      <c r="O234">
        <f t="shared" si="32"/>
        <v>1.767079546019886</v>
      </c>
      <c r="P234">
        <f t="shared" si="33"/>
        <v>2.8695904601399889</v>
      </c>
      <c r="R234" s="33">
        <f>N234+Qy!R274</f>
        <v>1446.962951458607</v>
      </c>
      <c r="AM234" s="79"/>
      <c r="AS234" s="78"/>
    </row>
    <row r="235" spans="2:45">
      <c r="B235" s="4">
        <v>3400</v>
      </c>
      <c r="C235">
        <v>96.239400000000003</v>
      </c>
      <c r="D235">
        <f>64*0.92*0.217543</f>
        <v>12.80893184</v>
      </c>
      <c r="E235">
        <f t="shared" si="30"/>
        <v>1.6355480320000002</v>
      </c>
      <c r="F235">
        <v>2.0661599999999999E-2</v>
      </c>
      <c r="G235">
        <v>3.48937E-2</v>
      </c>
      <c r="H235" s="7">
        <v>1.4435910000000001</v>
      </c>
      <c r="I235" s="7">
        <v>1.4435910000000001</v>
      </c>
      <c r="J235" s="4">
        <f t="shared" si="31"/>
        <v>1.4435910000000001</v>
      </c>
      <c r="K235" s="49">
        <v>200</v>
      </c>
      <c r="L235" s="5">
        <v>1</v>
      </c>
      <c r="M235" s="7">
        <v>103.98543100000001</v>
      </c>
      <c r="N235">
        <f t="shared" si="34"/>
        <v>1232.7239149224961</v>
      </c>
      <c r="O235">
        <f t="shared" si="32"/>
        <v>1.9884599870399597</v>
      </c>
      <c r="P235">
        <f t="shared" si="33"/>
        <v>3.358148751779936</v>
      </c>
      <c r="R235" s="33">
        <f>N235+Qy!R275</f>
        <v>1558.7256665411842</v>
      </c>
      <c r="AM235" s="79"/>
      <c r="AS235" s="78"/>
    </row>
    <row r="236" spans="2:45">
      <c r="B236" s="4">
        <v>3400</v>
      </c>
      <c r="C236">
        <v>103.628</v>
      </c>
      <c r="D236">
        <f>64*0.92*0.21943</f>
        <v>12.920038399999999</v>
      </c>
      <c r="E236">
        <f t="shared" si="30"/>
        <v>1.74788224</v>
      </c>
      <c r="F236">
        <v>2.1472600000000001E-2</v>
      </c>
      <c r="G236">
        <v>3.7898399999999999E-2</v>
      </c>
      <c r="H236" s="7">
        <v>1.5544199999999999</v>
      </c>
      <c r="I236" s="7">
        <v>1.5544199999999999</v>
      </c>
      <c r="J236" s="4">
        <f t="shared" si="31"/>
        <v>1.5544199999999999</v>
      </c>
      <c r="K236" s="49">
        <v>200</v>
      </c>
      <c r="L236" s="5">
        <v>1</v>
      </c>
      <c r="M236" s="7">
        <v>111.69395160000001</v>
      </c>
      <c r="N236">
        <f t="shared" si="34"/>
        <v>1338.8777393152</v>
      </c>
      <c r="O236">
        <f t="shared" si="32"/>
        <v>2.2251625927999612</v>
      </c>
      <c r="P236">
        <f t="shared" si="33"/>
        <v>3.9273353952000889</v>
      </c>
      <c r="R236" s="33">
        <f>N236+Qy!R276</f>
        <v>1678.3379558390177</v>
      </c>
      <c r="AM236" s="79"/>
      <c r="AS236" s="78"/>
    </row>
    <row r="237" spans="2:45">
      <c r="B237" s="4">
        <v>3400</v>
      </c>
      <c r="C237">
        <v>111.583</v>
      </c>
      <c r="D237">
        <f>64*0.92*0.221162</f>
        <v>13.022018560000001</v>
      </c>
      <c r="E237">
        <f t="shared" si="30"/>
        <v>1.8640318719999998</v>
      </c>
      <c r="F237">
        <v>2.2186399999999998E-2</v>
      </c>
      <c r="G237">
        <v>4.1129899999999997E-2</v>
      </c>
      <c r="H237" s="7">
        <v>1.673745</v>
      </c>
      <c r="I237" s="7">
        <v>1.673745</v>
      </c>
      <c r="J237" s="4">
        <f t="shared" si="31"/>
        <v>1.6737449999999998</v>
      </c>
      <c r="K237" s="49">
        <v>200</v>
      </c>
      <c r="L237" s="5">
        <v>1</v>
      </c>
      <c r="M237" s="7">
        <v>119.8199566</v>
      </c>
      <c r="N237">
        <f t="shared" si="34"/>
        <v>1453.0358969804802</v>
      </c>
      <c r="O237">
        <f t="shared" si="32"/>
        <v>2.4756250712000565</v>
      </c>
      <c r="P237">
        <f t="shared" si="33"/>
        <v>4.589397631699967</v>
      </c>
      <c r="R237" s="33">
        <f>N237+Qy!R277</f>
        <v>1806.1558097528359</v>
      </c>
      <c r="AM237" s="79"/>
      <c r="AS237" s="78"/>
    </row>
    <row r="238" spans="2:45">
      <c r="B238" s="4">
        <v>3400</v>
      </c>
      <c r="C238">
        <v>120.15</v>
      </c>
      <c r="D238">
        <f>64*0.92*0.222708</f>
        <v>13.11304704</v>
      </c>
      <c r="E238">
        <f t="shared" si="30"/>
        <v>1.9837408000000001</v>
      </c>
      <c r="F238">
        <v>2.2785400000000001E-2</v>
      </c>
      <c r="G238">
        <v>4.4597100000000001E-2</v>
      </c>
      <c r="H238" s="7">
        <v>1.8022499999999999</v>
      </c>
      <c r="I238" s="7">
        <v>1.8022499999999999</v>
      </c>
      <c r="J238" s="4">
        <f t="shared" si="31"/>
        <v>1.8022499999999999</v>
      </c>
      <c r="K238" s="49">
        <v>200</v>
      </c>
      <c r="L238" s="5">
        <v>1</v>
      </c>
      <c r="M238" s="7">
        <v>128.4250399</v>
      </c>
      <c r="N238">
        <f t="shared" si="34"/>
        <v>1575.5326018559999</v>
      </c>
      <c r="O238">
        <f t="shared" si="32"/>
        <v>2.7376658100001805</v>
      </c>
      <c r="P238">
        <f t="shared" si="33"/>
        <v>5.3583415650000461</v>
      </c>
      <c r="R238" s="33">
        <f>N238+Qy!R278</f>
        <v>1942.5881745119968</v>
      </c>
      <c r="AM238" s="79"/>
      <c r="AS238" s="78"/>
    </row>
    <row r="239" spans="2:45">
      <c r="B239" s="4">
        <v>3400</v>
      </c>
      <c r="C239">
        <v>129.37299999999999</v>
      </c>
      <c r="D239">
        <f>64*0.92*0.224039</f>
        <v>13.19141632</v>
      </c>
      <c r="E239">
        <f t="shared" si="30"/>
        <v>2.1067470080000001</v>
      </c>
      <c r="F239">
        <v>2.3252800000000001E-2</v>
      </c>
      <c r="G239">
        <v>4.8307900000000001E-2</v>
      </c>
      <c r="H239" s="7">
        <v>1.9405950000000001</v>
      </c>
      <c r="I239" s="7">
        <v>1.9405950000000001</v>
      </c>
      <c r="J239" s="4">
        <f t="shared" si="31"/>
        <v>1.9405949999999998</v>
      </c>
      <c r="K239" s="49">
        <v>200</v>
      </c>
      <c r="L239" s="5">
        <v>1</v>
      </c>
      <c r="M239" s="7">
        <v>137.58917969999999</v>
      </c>
      <c r="N239">
        <f t="shared" si="34"/>
        <v>1706.61310356736</v>
      </c>
      <c r="O239">
        <f t="shared" si="32"/>
        <v>3.0082844943999589</v>
      </c>
      <c r="P239">
        <f t="shared" si="33"/>
        <v>6.2497379466999519</v>
      </c>
      <c r="R239" s="33">
        <f>N239+Qy!R279</f>
        <v>2087.9722708048221</v>
      </c>
      <c r="AM239" s="79"/>
      <c r="AS239" s="78"/>
    </row>
    <row r="240" spans="2:45">
      <c r="B240" s="4">
        <v>3400</v>
      </c>
      <c r="C240">
        <v>139.30500000000001</v>
      </c>
      <c r="D240">
        <f>64*0.92*0.225131</f>
        <v>13.25571328</v>
      </c>
      <c r="E240">
        <f t="shared" si="30"/>
        <v>2.2328532480000001</v>
      </c>
      <c r="F240">
        <v>2.3574299999999999E-2</v>
      </c>
      <c r="G240">
        <v>5.2269900000000001E-2</v>
      </c>
      <c r="H240" s="7">
        <v>2.089575</v>
      </c>
      <c r="I240" s="7">
        <v>2.089575</v>
      </c>
      <c r="J240" s="4">
        <f t="shared" si="31"/>
        <v>2.089575</v>
      </c>
      <c r="K240" s="49">
        <v>200</v>
      </c>
      <c r="L240" s="5">
        <v>1</v>
      </c>
      <c r="M240" s="7">
        <v>147.44145230000001</v>
      </c>
      <c r="N240">
        <f t="shared" si="34"/>
        <v>1846.5871384704001</v>
      </c>
      <c r="O240">
        <f t="shared" si="32"/>
        <v>3.2840178614999331</v>
      </c>
      <c r="P240">
        <f t="shared" si="33"/>
        <v>7.2814584195000407</v>
      </c>
      <c r="R240" s="33">
        <f>N240+Qy!R280</f>
        <v>2242.7686754729957</v>
      </c>
      <c r="AM240" s="79"/>
      <c r="AS240" s="78"/>
    </row>
    <row r="241" spans="1:298">
      <c r="B241" s="4">
        <v>3400</v>
      </c>
      <c r="C241">
        <v>150</v>
      </c>
      <c r="D241">
        <f>64*0.92*0.225966</f>
        <v>13.30487808</v>
      </c>
      <c r="E241">
        <f t="shared" si="30"/>
        <v>2.361991808</v>
      </c>
      <c r="F241">
        <v>2.3739300000000001E-2</v>
      </c>
      <c r="G241">
        <v>5.6491399999999997E-2</v>
      </c>
      <c r="H241" s="7">
        <v>2.25</v>
      </c>
      <c r="I241" s="7">
        <v>2.25</v>
      </c>
      <c r="J241" s="4">
        <f t="shared" si="31"/>
        <v>2.25</v>
      </c>
      <c r="K241" s="49">
        <v>200</v>
      </c>
      <c r="L241" s="5">
        <v>1</v>
      </c>
      <c r="M241" s="7">
        <v>158.1464837</v>
      </c>
      <c r="N241">
        <f t="shared" si="34"/>
        <v>1995.731712</v>
      </c>
      <c r="O241">
        <f t="shared" si="32"/>
        <v>3.5608950000000732</v>
      </c>
      <c r="P241">
        <f t="shared" si="33"/>
        <v>8.4737100000002101</v>
      </c>
      <c r="R241" s="33">
        <f>N241+Qy!R281</f>
        <v>2407.4331479141752</v>
      </c>
      <c r="AM241" s="79"/>
      <c r="AS241" s="78"/>
    </row>
    <row r="242" spans="1:298" s="53" customFormat="1">
      <c r="A242" s="57" t="s">
        <v>63</v>
      </c>
      <c r="B242" s="51">
        <v>3400</v>
      </c>
      <c r="C242" s="53">
        <v>2.1883729000000001</v>
      </c>
      <c r="D242" s="53">
        <f>64*0.92*0.060062565</f>
        <v>3.5364838272000001</v>
      </c>
      <c r="E242" s="53">
        <f t="shared" si="30"/>
        <v>1.5103603200000002</v>
      </c>
      <c r="F242" s="53">
        <v>2.5964000000000001E-2</v>
      </c>
      <c r="G242" s="53">
        <v>2.5339E-2</v>
      </c>
      <c r="H242" s="76">
        <v>0.49622050000000001</v>
      </c>
      <c r="I242" s="76">
        <v>0.49622050000000001</v>
      </c>
      <c r="J242" s="51">
        <f t="shared" ref="J242:J250" si="35">(H242+I242)/2</f>
        <v>0.49622050000000001</v>
      </c>
      <c r="K242" s="56">
        <v>200</v>
      </c>
      <c r="L242" s="53">
        <v>1</v>
      </c>
      <c r="M242" s="52">
        <f t="shared" ref="M242:M250" si="36">0.37831610210533*((B242^(0.25544)*(N242-0.75055868898026)+5.0638524811751*(N242-0.86650583472479))/(B242^(0.25544)+5.8461220761901))^0.76816715317253</f>
        <v>1.6028880742032867</v>
      </c>
      <c r="N242" s="53">
        <f t="shared" si="34"/>
        <v>7.7391453687327632</v>
      </c>
      <c r="O242">
        <f t="shared" si="32"/>
        <v>5.6818913975600793E-2</v>
      </c>
      <c r="P242">
        <f t="shared" si="33"/>
        <v>5.5451180913100195E-2</v>
      </c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79"/>
      <c r="AN242" s="33"/>
      <c r="AO242" s="33"/>
      <c r="AP242" s="33"/>
      <c r="AQ242" s="33"/>
      <c r="AR242" s="33"/>
      <c r="AS242" s="78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  <c r="GE242" s="33"/>
      <c r="GF242" s="33"/>
      <c r="GG242" s="33"/>
      <c r="GH242" s="33"/>
      <c r="GI242" s="33"/>
      <c r="GJ242" s="33"/>
      <c r="GK242" s="33"/>
      <c r="GL242" s="33"/>
      <c r="GM242" s="33"/>
      <c r="GN242" s="33"/>
      <c r="GO242" s="33"/>
      <c r="GP242" s="33"/>
      <c r="GQ242" s="33"/>
      <c r="GR242" s="33"/>
      <c r="GS242" s="33"/>
      <c r="GT242" s="33"/>
      <c r="GU242" s="33"/>
      <c r="GV242" s="33"/>
      <c r="GW242" s="33"/>
      <c r="GX242" s="33"/>
      <c r="GY242" s="33"/>
      <c r="GZ242" s="33"/>
      <c r="HA242" s="33"/>
      <c r="HB242" s="33"/>
      <c r="HC242" s="33"/>
      <c r="HD242" s="33"/>
      <c r="HE242" s="33"/>
      <c r="HF242" s="33"/>
      <c r="HG242" s="33"/>
      <c r="HH242" s="33"/>
      <c r="HI242" s="33"/>
      <c r="HJ242" s="33"/>
      <c r="HK242" s="33"/>
      <c r="HL242" s="33"/>
      <c r="HM242" s="33"/>
      <c r="HN242" s="33"/>
      <c r="HO242" s="33"/>
      <c r="HP242" s="33"/>
      <c r="HQ242" s="33"/>
      <c r="HR242" s="33"/>
      <c r="HS242" s="33"/>
      <c r="HT242" s="33"/>
      <c r="HU242" s="33"/>
      <c r="HV242" s="33"/>
      <c r="HW242" s="33"/>
      <c r="HX242" s="33"/>
      <c r="HY242" s="33"/>
      <c r="HZ242" s="33"/>
      <c r="IA242" s="33"/>
      <c r="IB242" s="33"/>
      <c r="IC242" s="33"/>
      <c r="ID242" s="33"/>
      <c r="IE242" s="33"/>
      <c r="IF242" s="33"/>
      <c r="IG242" s="33"/>
      <c r="IH242" s="33"/>
      <c r="II242" s="33"/>
      <c r="IJ242" s="33"/>
      <c r="IK242" s="33"/>
      <c r="IL242" s="33"/>
      <c r="IM242" s="33"/>
      <c r="IN242" s="33"/>
      <c r="IO242" s="33"/>
      <c r="IP242" s="33"/>
      <c r="IQ242" s="33"/>
      <c r="IR242" s="33"/>
      <c r="IS242" s="33"/>
      <c r="IT242" s="33"/>
      <c r="IU242" s="33"/>
      <c r="IV242" s="33"/>
      <c r="IW242" s="33"/>
      <c r="IX242" s="33"/>
      <c r="IY242" s="33"/>
      <c r="IZ242" s="33"/>
      <c r="JA242" s="33"/>
      <c r="JB242" s="33"/>
      <c r="JC242" s="33"/>
      <c r="JD242" s="33"/>
      <c r="JE242" s="33"/>
      <c r="JF242" s="33"/>
      <c r="JG242" s="33"/>
      <c r="JH242" s="33"/>
      <c r="JI242" s="33"/>
      <c r="JJ242" s="33"/>
      <c r="JK242" s="33"/>
      <c r="JL242" s="33"/>
      <c r="JM242" s="33"/>
      <c r="JN242" s="33"/>
      <c r="JO242" s="33"/>
      <c r="JP242" s="33"/>
      <c r="JQ242" s="33"/>
      <c r="JR242" s="33"/>
      <c r="JS242" s="33"/>
      <c r="JT242" s="33"/>
      <c r="JU242" s="33"/>
      <c r="JV242" s="33"/>
      <c r="JW242" s="33"/>
      <c r="JX242" s="33"/>
      <c r="JY242" s="33"/>
      <c r="JZ242" s="33"/>
      <c r="KA242" s="33"/>
      <c r="KB242" s="33"/>
      <c r="KC242" s="33"/>
      <c r="KD242" s="33"/>
      <c r="KE242" s="33"/>
      <c r="KF242" s="33"/>
      <c r="KG242" s="33"/>
      <c r="KH242" s="33"/>
      <c r="KI242" s="33"/>
      <c r="KJ242" s="33"/>
      <c r="KK242" s="33"/>
      <c r="KL242" s="33"/>
    </row>
    <row r="243" spans="1:298" s="53" customFormat="1">
      <c r="A243" s="65" t="s">
        <v>78</v>
      </c>
      <c r="B243" s="51">
        <v>3400</v>
      </c>
      <c r="C243" s="53">
        <v>3.3733430000000002</v>
      </c>
      <c r="D243" s="53">
        <f>64*0.92*0.04379562</f>
        <v>2.5786861056000001</v>
      </c>
      <c r="E243" s="53">
        <f t="shared" si="30"/>
        <v>0.85955968000000005</v>
      </c>
      <c r="F243" s="53">
        <v>1.4702E-2</v>
      </c>
      <c r="G243" s="53">
        <v>1.4494999999999999E-2</v>
      </c>
      <c r="H243" s="76">
        <v>0.73805699999999996</v>
      </c>
      <c r="I243" s="76">
        <v>0.73805699999999996</v>
      </c>
      <c r="J243" s="51">
        <f t="shared" si="35"/>
        <v>0.73805699999999996</v>
      </c>
      <c r="K243" s="56">
        <v>200</v>
      </c>
      <c r="L243" s="53">
        <v>1</v>
      </c>
      <c r="M243" s="52">
        <f t="shared" si="36"/>
        <v>1.7704772644942572</v>
      </c>
      <c r="N243" s="53">
        <f t="shared" ref="N243:N250" si="37">C243*D243*L243</f>
        <v>8.698792723523022</v>
      </c>
      <c r="O243">
        <f t="shared" si="32"/>
        <v>4.9594888786000269E-2</v>
      </c>
      <c r="P243">
        <f t="shared" si="33"/>
        <v>4.8896606785000074E-2</v>
      </c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79"/>
      <c r="AN243" s="33"/>
      <c r="AO243" s="33"/>
      <c r="AP243" s="33"/>
      <c r="AQ243" s="33"/>
      <c r="AR243" s="33"/>
      <c r="AS243" s="78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  <c r="GE243" s="33"/>
      <c r="GF243" s="33"/>
      <c r="GG243" s="33"/>
      <c r="GH243" s="33"/>
      <c r="GI243" s="33"/>
      <c r="GJ243" s="33"/>
      <c r="GK243" s="33"/>
      <c r="GL243" s="33"/>
      <c r="GM243" s="33"/>
      <c r="GN243" s="33"/>
      <c r="GO243" s="33"/>
      <c r="GP243" s="33"/>
      <c r="GQ243" s="33"/>
      <c r="GR243" s="33"/>
      <c r="GS243" s="33"/>
      <c r="GT243" s="33"/>
      <c r="GU243" s="33"/>
      <c r="GV243" s="33"/>
      <c r="GW243" s="33"/>
      <c r="GX243" s="33"/>
      <c r="GY243" s="33"/>
      <c r="GZ243" s="33"/>
      <c r="HA243" s="33"/>
      <c r="HB243" s="33"/>
      <c r="HC243" s="33"/>
      <c r="HD243" s="33"/>
      <c r="HE243" s="33"/>
      <c r="HF243" s="33"/>
      <c r="HG243" s="33"/>
      <c r="HH243" s="33"/>
      <c r="HI243" s="33"/>
      <c r="HJ243" s="33"/>
      <c r="HK243" s="33"/>
      <c r="HL243" s="33"/>
      <c r="HM243" s="33"/>
      <c r="HN243" s="33"/>
      <c r="HO243" s="33"/>
      <c r="HP243" s="33"/>
      <c r="HQ243" s="33"/>
      <c r="HR243" s="33"/>
      <c r="HS243" s="33"/>
      <c r="HT243" s="33"/>
      <c r="HU243" s="33"/>
      <c r="HV243" s="33"/>
      <c r="HW243" s="33"/>
      <c r="HX243" s="33"/>
      <c r="HY243" s="33"/>
      <c r="HZ243" s="33"/>
      <c r="IA243" s="33"/>
      <c r="IB243" s="33"/>
      <c r="IC243" s="33"/>
      <c r="ID243" s="33"/>
      <c r="IE243" s="33"/>
      <c r="IF243" s="33"/>
      <c r="IG243" s="33"/>
      <c r="IH243" s="33"/>
      <c r="II243" s="33"/>
      <c r="IJ243" s="33"/>
      <c r="IK243" s="33"/>
      <c r="IL243" s="33"/>
      <c r="IM243" s="33"/>
      <c r="IN243" s="33"/>
      <c r="IO243" s="33"/>
      <c r="IP243" s="33"/>
      <c r="IQ243" s="33"/>
      <c r="IR243" s="33"/>
      <c r="IS243" s="33"/>
      <c r="IT243" s="33"/>
      <c r="IU243" s="33"/>
      <c r="IV243" s="33"/>
      <c r="IW243" s="33"/>
      <c r="IX243" s="33"/>
      <c r="IY243" s="33"/>
      <c r="IZ243" s="33"/>
      <c r="JA243" s="33"/>
      <c r="JB243" s="33"/>
      <c r="JC243" s="33"/>
      <c r="JD243" s="33"/>
      <c r="JE243" s="33"/>
      <c r="JF243" s="33"/>
      <c r="JG243" s="33"/>
      <c r="JH243" s="33"/>
      <c r="JI243" s="33"/>
      <c r="JJ243" s="33"/>
      <c r="JK243" s="33"/>
      <c r="JL243" s="33"/>
      <c r="JM243" s="33"/>
      <c r="JN243" s="33"/>
      <c r="JO243" s="33"/>
      <c r="JP243" s="33"/>
      <c r="JQ243" s="33"/>
      <c r="JR243" s="33"/>
      <c r="JS243" s="33"/>
      <c r="JT243" s="33"/>
      <c r="JU243" s="33"/>
      <c r="JV243" s="33"/>
      <c r="JW243" s="33"/>
      <c r="JX243" s="33"/>
      <c r="JY243" s="33"/>
      <c r="JZ243" s="33"/>
      <c r="KA243" s="33"/>
      <c r="KB243" s="33"/>
      <c r="KC243" s="33"/>
      <c r="KD243" s="33"/>
      <c r="KE243" s="33"/>
      <c r="KF243" s="33"/>
      <c r="KG243" s="33"/>
      <c r="KH243" s="33"/>
      <c r="KI243" s="33"/>
      <c r="KJ243" s="33"/>
      <c r="KK243" s="33"/>
      <c r="KL243" s="33"/>
    </row>
    <row r="244" spans="1:298" s="53" customFormat="1">
      <c r="A244" s="54"/>
      <c r="B244" s="51">
        <v>3400</v>
      </c>
      <c r="C244" s="53">
        <v>5.2907500000000001</v>
      </c>
      <c r="D244" s="53">
        <f>64*0.92*0.06757039</f>
        <v>3.9785445631999998</v>
      </c>
      <c r="E244" s="53">
        <f t="shared" si="30"/>
        <v>1.1051481600000002</v>
      </c>
      <c r="F244" s="53">
        <v>1.8457000000000001E-2</v>
      </c>
      <c r="G244" s="53">
        <v>1.9081999999999998E-2</v>
      </c>
      <c r="H244" s="76">
        <v>1.1698249999999999</v>
      </c>
      <c r="I244" s="76">
        <v>1.1698249999999999</v>
      </c>
      <c r="J244" s="51">
        <f t="shared" si="35"/>
        <v>1.1698249999999999</v>
      </c>
      <c r="K244" s="56">
        <v>200</v>
      </c>
      <c r="L244" s="53">
        <v>1</v>
      </c>
      <c r="M244" s="52">
        <f t="shared" si="36"/>
        <v>3.6479076105803858</v>
      </c>
      <c r="N244" s="53">
        <f t="shared" si="37"/>
        <v>21.049484647750401</v>
      </c>
      <c r="O244">
        <f t="shared" si="32"/>
        <v>9.7651372750000576E-2</v>
      </c>
      <c r="P244">
        <f t="shared" si="33"/>
        <v>0.10095809150000079</v>
      </c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79"/>
      <c r="AN244" s="33"/>
      <c r="AO244" s="33"/>
      <c r="AP244" s="33"/>
      <c r="AQ244" s="33"/>
      <c r="AR244" s="33"/>
      <c r="AS244" s="78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  <c r="GE244" s="33"/>
      <c r="GF244" s="33"/>
      <c r="GG244" s="33"/>
      <c r="GH244" s="33"/>
      <c r="GI244" s="33"/>
      <c r="GJ244" s="33"/>
      <c r="GK244" s="33"/>
      <c r="GL244" s="33"/>
      <c r="GM244" s="33"/>
      <c r="GN244" s="33"/>
      <c r="GO244" s="33"/>
      <c r="GP244" s="33"/>
      <c r="GQ244" s="33"/>
      <c r="GR244" s="33"/>
      <c r="GS244" s="33"/>
      <c r="GT244" s="33"/>
      <c r="GU244" s="33"/>
      <c r="GV244" s="33"/>
      <c r="GW244" s="33"/>
      <c r="GX244" s="33"/>
      <c r="GY244" s="33"/>
      <c r="GZ244" s="33"/>
      <c r="HA244" s="33"/>
      <c r="HB244" s="33"/>
      <c r="HC244" s="33"/>
      <c r="HD244" s="33"/>
      <c r="HE244" s="33"/>
      <c r="HF244" s="33"/>
      <c r="HG244" s="33"/>
      <c r="HH244" s="33"/>
      <c r="HI244" s="33"/>
      <c r="HJ244" s="33"/>
      <c r="HK244" s="33"/>
      <c r="HL244" s="33"/>
      <c r="HM244" s="33"/>
      <c r="HN244" s="33"/>
      <c r="HO244" s="33"/>
      <c r="HP244" s="33"/>
      <c r="HQ244" s="33"/>
      <c r="HR244" s="33"/>
      <c r="HS244" s="33"/>
      <c r="HT244" s="33"/>
      <c r="HU244" s="33"/>
      <c r="HV244" s="33"/>
      <c r="HW244" s="33"/>
      <c r="HX244" s="33"/>
      <c r="HY244" s="33"/>
      <c r="HZ244" s="33"/>
      <c r="IA244" s="33"/>
      <c r="IB244" s="33"/>
      <c r="IC244" s="33"/>
      <c r="ID244" s="33"/>
      <c r="IE244" s="33"/>
      <c r="IF244" s="33"/>
      <c r="IG244" s="33"/>
      <c r="IH244" s="33"/>
      <c r="II244" s="33"/>
      <c r="IJ244" s="33"/>
      <c r="IK244" s="33"/>
      <c r="IL244" s="33"/>
      <c r="IM244" s="33"/>
      <c r="IN244" s="33"/>
      <c r="IO244" s="33"/>
      <c r="IP244" s="33"/>
      <c r="IQ244" s="33"/>
      <c r="IR244" s="33"/>
      <c r="IS244" s="33"/>
      <c r="IT244" s="33"/>
      <c r="IU244" s="33"/>
      <c r="IV244" s="33"/>
      <c r="IW244" s="33"/>
      <c r="IX244" s="33"/>
      <c r="IY244" s="33"/>
      <c r="IZ244" s="33"/>
      <c r="JA244" s="33"/>
      <c r="JB244" s="33"/>
      <c r="JC244" s="33"/>
      <c r="JD244" s="33"/>
      <c r="JE244" s="33"/>
      <c r="JF244" s="33"/>
      <c r="JG244" s="33"/>
      <c r="JH244" s="33"/>
      <c r="JI244" s="33"/>
      <c r="JJ244" s="33"/>
      <c r="JK244" s="33"/>
      <c r="JL244" s="33"/>
      <c r="JM244" s="33"/>
      <c r="JN244" s="33"/>
      <c r="JO244" s="33"/>
      <c r="JP244" s="33"/>
      <c r="JQ244" s="33"/>
      <c r="JR244" s="33"/>
      <c r="JS244" s="33"/>
      <c r="JT244" s="33"/>
      <c r="JU244" s="33"/>
      <c r="JV244" s="33"/>
      <c r="JW244" s="33"/>
      <c r="JX244" s="33"/>
      <c r="JY244" s="33"/>
      <c r="JZ244" s="33"/>
      <c r="KA244" s="33"/>
      <c r="KB244" s="33"/>
      <c r="KC244" s="33"/>
      <c r="KD244" s="33"/>
      <c r="KE244" s="33"/>
      <c r="KF244" s="33"/>
      <c r="KG244" s="33"/>
      <c r="KH244" s="33"/>
      <c r="KI244" s="33"/>
      <c r="KJ244" s="33"/>
      <c r="KK244" s="33"/>
      <c r="KL244" s="33"/>
    </row>
    <row r="245" spans="1:298" s="53" customFormat="1">
      <c r="A245" s="54"/>
      <c r="B245" s="51">
        <v>3400</v>
      </c>
      <c r="C245" s="53">
        <v>8.3846419999999995</v>
      </c>
      <c r="D245" s="53">
        <f>64*0.92*0.091032326</f>
        <v>5.3599833548799998</v>
      </c>
      <c r="E245" s="53">
        <f t="shared" si="30"/>
        <v>1.42451328</v>
      </c>
      <c r="F245" s="53">
        <v>2.3778000000000001E-2</v>
      </c>
      <c r="G245" s="53">
        <v>2.4608999999999999E-2</v>
      </c>
      <c r="H245" s="76">
        <v>1.8711850000000001</v>
      </c>
      <c r="I245" s="76">
        <v>1.8711850000000001</v>
      </c>
      <c r="J245" s="51">
        <f t="shared" si="35"/>
        <v>1.8711850000000001</v>
      </c>
      <c r="K245" s="56">
        <v>200</v>
      </c>
      <c r="L245" s="53">
        <v>1</v>
      </c>
      <c r="M245" s="52">
        <f t="shared" si="36"/>
        <v>6.6370916721606301</v>
      </c>
      <c r="N245" s="53">
        <f t="shared" si="37"/>
        <v>44.941541556627747</v>
      </c>
      <c r="O245">
        <f t="shared" si="32"/>
        <v>0.19937001747599936</v>
      </c>
      <c r="P245">
        <f t="shared" si="33"/>
        <v>0.20633765497800027</v>
      </c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79"/>
      <c r="AN245" s="33"/>
      <c r="AO245" s="33"/>
      <c r="AP245" s="33"/>
      <c r="AQ245" s="33"/>
      <c r="AR245" s="33"/>
      <c r="AS245" s="78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  <c r="GE245" s="33"/>
      <c r="GF245" s="33"/>
      <c r="GG245" s="33"/>
      <c r="GH245" s="33"/>
      <c r="GI245" s="33"/>
      <c r="GJ245" s="33"/>
      <c r="GK245" s="33"/>
      <c r="GL245" s="33"/>
      <c r="GM245" s="33"/>
      <c r="GN245" s="33"/>
      <c r="GO245" s="33"/>
      <c r="GP245" s="33"/>
      <c r="GQ245" s="33"/>
      <c r="GR245" s="33"/>
      <c r="GS245" s="33"/>
      <c r="GT245" s="33"/>
      <c r="GU245" s="33"/>
      <c r="GV245" s="33"/>
      <c r="GW245" s="33"/>
      <c r="GX245" s="33"/>
      <c r="GY245" s="33"/>
      <c r="GZ245" s="33"/>
      <c r="HA245" s="33"/>
      <c r="HB245" s="33"/>
      <c r="HC245" s="33"/>
      <c r="HD245" s="33"/>
      <c r="HE245" s="33"/>
      <c r="HF245" s="33"/>
      <c r="HG245" s="33"/>
      <c r="HH245" s="33"/>
      <c r="HI245" s="33"/>
      <c r="HJ245" s="33"/>
      <c r="HK245" s="33"/>
      <c r="HL245" s="33"/>
      <c r="HM245" s="33"/>
      <c r="HN245" s="33"/>
      <c r="HO245" s="33"/>
      <c r="HP245" s="33"/>
      <c r="HQ245" s="33"/>
      <c r="HR245" s="33"/>
      <c r="HS245" s="33"/>
      <c r="HT245" s="33"/>
      <c r="HU245" s="33"/>
      <c r="HV245" s="33"/>
      <c r="HW245" s="33"/>
      <c r="HX245" s="33"/>
      <c r="HY245" s="33"/>
      <c r="HZ245" s="33"/>
      <c r="IA245" s="33"/>
      <c r="IB245" s="33"/>
      <c r="IC245" s="33"/>
      <c r="ID245" s="33"/>
      <c r="IE245" s="33"/>
      <c r="IF245" s="33"/>
      <c r="IG245" s="33"/>
      <c r="IH245" s="33"/>
      <c r="II245" s="33"/>
      <c r="IJ245" s="33"/>
      <c r="IK245" s="33"/>
      <c r="IL245" s="33"/>
      <c r="IM245" s="33"/>
      <c r="IN245" s="33"/>
      <c r="IO245" s="33"/>
      <c r="IP245" s="33"/>
      <c r="IQ245" s="33"/>
      <c r="IR245" s="33"/>
      <c r="IS245" s="33"/>
      <c r="IT245" s="33"/>
      <c r="IU245" s="33"/>
      <c r="IV245" s="33"/>
      <c r="IW245" s="33"/>
      <c r="IX245" s="33"/>
      <c r="IY245" s="33"/>
      <c r="IZ245" s="33"/>
      <c r="JA245" s="33"/>
      <c r="JB245" s="33"/>
      <c r="JC245" s="33"/>
      <c r="JD245" s="33"/>
      <c r="JE245" s="33"/>
      <c r="JF245" s="33"/>
      <c r="JG245" s="33"/>
      <c r="JH245" s="33"/>
      <c r="JI245" s="33"/>
      <c r="JJ245" s="33"/>
      <c r="JK245" s="33"/>
      <c r="JL245" s="33"/>
      <c r="JM245" s="33"/>
      <c r="JN245" s="33"/>
      <c r="JO245" s="33"/>
      <c r="JP245" s="33"/>
      <c r="JQ245" s="33"/>
      <c r="JR245" s="33"/>
      <c r="JS245" s="33"/>
      <c r="JT245" s="33"/>
      <c r="JU245" s="33"/>
      <c r="JV245" s="33"/>
      <c r="JW245" s="33"/>
      <c r="JX245" s="33"/>
      <c r="JY245" s="33"/>
      <c r="JZ245" s="33"/>
      <c r="KA245" s="33"/>
      <c r="KB245" s="33"/>
      <c r="KC245" s="33"/>
      <c r="KD245" s="33"/>
      <c r="KE245" s="33"/>
      <c r="KF245" s="33"/>
      <c r="KG245" s="33"/>
      <c r="KH245" s="33"/>
      <c r="KI245" s="33"/>
      <c r="KJ245" s="33"/>
      <c r="KK245" s="33"/>
      <c r="KL245" s="33"/>
    </row>
    <row r="246" spans="1:298" s="53" customFormat="1">
      <c r="A246" s="54"/>
      <c r="B246" s="51">
        <v>3400</v>
      </c>
      <c r="C246" s="53">
        <v>13.333841</v>
      </c>
      <c r="D246" s="53">
        <f>64*0.92*0.118561</f>
        <v>6.9808716799999999</v>
      </c>
      <c r="E246" s="53">
        <f t="shared" si="30"/>
        <v>1.8541017600000003</v>
      </c>
      <c r="F246" s="53">
        <v>3.1279000000000001E-2</v>
      </c>
      <c r="G246" s="53">
        <v>3.1699999999999999E-2</v>
      </c>
      <c r="H246" s="76">
        <v>2.9688300000000001</v>
      </c>
      <c r="I246" s="76">
        <v>2.9688300000000001</v>
      </c>
      <c r="J246" s="51">
        <f t="shared" si="35"/>
        <v>2.9688300000000001</v>
      </c>
      <c r="K246" s="56">
        <v>200</v>
      </c>
      <c r="L246" s="53">
        <v>1</v>
      </c>
      <c r="M246" s="52">
        <f t="shared" si="36"/>
        <v>11.694461969843113</v>
      </c>
      <c r="N246" s="53">
        <f t="shared" si="37"/>
        <v>93.081833022522872</v>
      </c>
      <c r="O246">
        <f t="shared" si="32"/>
        <v>0.41706921263899233</v>
      </c>
      <c r="P246">
        <f t="shared" si="33"/>
        <v>0.42268275969999536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79"/>
      <c r="AN246" s="33"/>
      <c r="AO246" s="33"/>
      <c r="AP246" s="33"/>
      <c r="AQ246" s="33"/>
      <c r="AR246" s="33"/>
      <c r="AS246" s="78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  <c r="GE246" s="33"/>
      <c r="GF246" s="33"/>
      <c r="GG246" s="33"/>
      <c r="GH246" s="33"/>
      <c r="GI246" s="33"/>
      <c r="GJ246" s="33"/>
      <c r="GK246" s="33"/>
      <c r="GL246" s="33"/>
      <c r="GM246" s="33"/>
      <c r="GN246" s="33"/>
      <c r="GO246" s="33"/>
      <c r="GP246" s="33"/>
      <c r="GQ246" s="33"/>
      <c r="GR246" s="33"/>
      <c r="GS246" s="33"/>
      <c r="GT246" s="33"/>
      <c r="GU246" s="33"/>
      <c r="GV246" s="33"/>
      <c r="GW246" s="33"/>
      <c r="GX246" s="33"/>
      <c r="GY246" s="33"/>
      <c r="GZ246" s="33"/>
      <c r="HA246" s="33"/>
      <c r="HB246" s="33"/>
      <c r="HC246" s="33"/>
      <c r="HD246" s="33"/>
      <c r="HE246" s="33"/>
      <c r="HF246" s="33"/>
      <c r="HG246" s="33"/>
      <c r="HH246" s="33"/>
      <c r="HI246" s="33"/>
      <c r="HJ246" s="33"/>
      <c r="HK246" s="33"/>
      <c r="HL246" s="33"/>
      <c r="HM246" s="33"/>
      <c r="HN246" s="33"/>
      <c r="HO246" s="33"/>
      <c r="HP246" s="33"/>
      <c r="HQ246" s="33"/>
      <c r="HR246" s="33"/>
      <c r="HS246" s="33"/>
      <c r="HT246" s="33"/>
      <c r="HU246" s="33"/>
      <c r="HV246" s="33"/>
      <c r="HW246" s="33"/>
      <c r="HX246" s="33"/>
      <c r="HY246" s="33"/>
      <c r="HZ246" s="33"/>
      <c r="IA246" s="33"/>
      <c r="IB246" s="33"/>
      <c r="IC246" s="33"/>
      <c r="ID246" s="33"/>
      <c r="IE246" s="33"/>
      <c r="IF246" s="33"/>
      <c r="IG246" s="33"/>
      <c r="IH246" s="33"/>
      <c r="II246" s="33"/>
      <c r="IJ246" s="33"/>
      <c r="IK246" s="33"/>
      <c r="IL246" s="33"/>
      <c r="IM246" s="33"/>
      <c r="IN246" s="33"/>
      <c r="IO246" s="33"/>
      <c r="IP246" s="33"/>
      <c r="IQ246" s="33"/>
      <c r="IR246" s="33"/>
      <c r="IS246" s="33"/>
      <c r="IT246" s="33"/>
      <c r="IU246" s="33"/>
      <c r="IV246" s="33"/>
      <c r="IW246" s="33"/>
      <c r="IX246" s="33"/>
      <c r="IY246" s="33"/>
      <c r="IZ246" s="33"/>
      <c r="JA246" s="33"/>
      <c r="JB246" s="33"/>
      <c r="JC246" s="33"/>
      <c r="JD246" s="33"/>
      <c r="JE246" s="33"/>
      <c r="JF246" s="33"/>
      <c r="JG246" s="33"/>
      <c r="JH246" s="33"/>
      <c r="JI246" s="33"/>
      <c r="JJ246" s="33"/>
      <c r="JK246" s="33"/>
      <c r="JL246" s="33"/>
      <c r="JM246" s="33"/>
      <c r="JN246" s="33"/>
      <c r="JO246" s="33"/>
      <c r="JP246" s="33"/>
      <c r="JQ246" s="33"/>
      <c r="JR246" s="33"/>
      <c r="JS246" s="33"/>
      <c r="JT246" s="33"/>
      <c r="JU246" s="33"/>
      <c r="JV246" s="33"/>
      <c r="JW246" s="33"/>
      <c r="JX246" s="33"/>
      <c r="JY246" s="33"/>
      <c r="JZ246" s="33"/>
      <c r="KA246" s="33"/>
      <c r="KB246" s="33"/>
      <c r="KC246" s="33"/>
      <c r="KD246" s="33"/>
      <c r="KE246" s="33"/>
      <c r="KF246" s="33"/>
      <c r="KG246" s="33"/>
      <c r="KH246" s="33"/>
      <c r="KI246" s="33"/>
      <c r="KJ246" s="33"/>
      <c r="KK246" s="33"/>
      <c r="KL246" s="33"/>
    </row>
    <row r="247" spans="1:298" s="53" customFormat="1">
      <c r="A247" s="54"/>
      <c r="B247" s="51">
        <v>3400</v>
      </c>
      <c r="C247" s="53">
        <v>21.425777</v>
      </c>
      <c r="D247" s="53">
        <f>64*0.92*0.15766424</f>
        <v>9.2832704512000017</v>
      </c>
      <c r="E247" s="53">
        <f t="shared" si="30"/>
        <v>2.4806144000000003</v>
      </c>
      <c r="F247" s="53">
        <v>4.1815999999999999E-2</v>
      </c>
      <c r="G247" s="53">
        <v>4.2444000000000003E-2</v>
      </c>
      <c r="H247" s="76">
        <v>4.85276</v>
      </c>
      <c r="I247" s="76">
        <v>4.85276</v>
      </c>
      <c r="J247" s="51">
        <f t="shared" si="35"/>
        <v>4.85276</v>
      </c>
      <c r="K247" s="56">
        <v>200</v>
      </c>
      <c r="L247" s="53">
        <v>1</v>
      </c>
      <c r="M247" s="52">
        <f t="shared" si="36"/>
        <v>21.02942153944803</v>
      </c>
      <c r="N247" s="53">
        <f t="shared" si="37"/>
        <v>198.90128251810063</v>
      </c>
      <c r="O247">
        <f t="shared" si="32"/>
        <v>0.89594029103201933</v>
      </c>
      <c r="P247">
        <f t="shared" si="33"/>
        <v>0.90939567898800533</v>
      </c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79"/>
      <c r="AN247" s="33"/>
      <c r="AO247" s="33"/>
      <c r="AP247" s="33"/>
      <c r="AQ247" s="33"/>
      <c r="AR247" s="33"/>
      <c r="AS247" s="78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  <c r="GE247" s="33"/>
      <c r="GF247" s="33"/>
      <c r="GG247" s="33"/>
      <c r="GH247" s="33"/>
      <c r="GI247" s="33"/>
      <c r="GJ247" s="33"/>
      <c r="GK247" s="33"/>
      <c r="GL247" s="33"/>
      <c r="GM247" s="33"/>
      <c r="GN247" s="33"/>
      <c r="GO247" s="33"/>
      <c r="GP247" s="33"/>
      <c r="GQ247" s="33"/>
      <c r="GR247" s="33"/>
      <c r="GS247" s="33"/>
      <c r="GT247" s="33"/>
      <c r="GU247" s="33"/>
      <c r="GV247" s="33"/>
      <c r="GW247" s="33"/>
      <c r="GX247" s="33"/>
      <c r="GY247" s="33"/>
      <c r="GZ247" s="33"/>
      <c r="HA247" s="33"/>
      <c r="HB247" s="33"/>
      <c r="HC247" s="33"/>
      <c r="HD247" s="33"/>
      <c r="HE247" s="33"/>
      <c r="HF247" s="33"/>
      <c r="HG247" s="33"/>
      <c r="HH247" s="33"/>
      <c r="HI247" s="33"/>
      <c r="HJ247" s="33"/>
      <c r="HK247" s="33"/>
      <c r="HL247" s="33"/>
      <c r="HM247" s="33"/>
      <c r="HN247" s="33"/>
      <c r="HO247" s="33"/>
      <c r="HP247" s="33"/>
      <c r="HQ247" s="33"/>
      <c r="HR247" s="33"/>
      <c r="HS247" s="33"/>
      <c r="HT247" s="33"/>
      <c r="HU247" s="33"/>
      <c r="HV247" s="33"/>
      <c r="HW247" s="33"/>
      <c r="HX247" s="33"/>
      <c r="HY247" s="33"/>
      <c r="HZ247" s="33"/>
      <c r="IA247" s="33"/>
      <c r="IB247" s="33"/>
      <c r="IC247" s="33"/>
      <c r="ID247" s="33"/>
      <c r="IE247" s="33"/>
      <c r="IF247" s="33"/>
      <c r="IG247" s="33"/>
      <c r="IH247" s="33"/>
      <c r="II247" s="33"/>
      <c r="IJ247" s="33"/>
      <c r="IK247" s="33"/>
      <c r="IL247" s="33"/>
      <c r="IM247" s="33"/>
      <c r="IN247" s="33"/>
      <c r="IO247" s="33"/>
      <c r="IP247" s="33"/>
      <c r="IQ247" s="33"/>
      <c r="IR247" s="33"/>
      <c r="IS247" s="33"/>
      <c r="IT247" s="33"/>
      <c r="IU247" s="33"/>
      <c r="IV247" s="33"/>
      <c r="IW247" s="33"/>
      <c r="IX247" s="33"/>
      <c r="IY247" s="33"/>
      <c r="IZ247" s="33"/>
      <c r="JA247" s="33"/>
      <c r="JB247" s="33"/>
      <c r="JC247" s="33"/>
      <c r="JD247" s="33"/>
      <c r="JE247" s="33"/>
      <c r="JF247" s="33"/>
      <c r="JG247" s="33"/>
      <c r="JH247" s="33"/>
      <c r="JI247" s="33"/>
      <c r="JJ247" s="33"/>
      <c r="JK247" s="33"/>
      <c r="JL247" s="33"/>
      <c r="JM247" s="33"/>
      <c r="JN247" s="33"/>
      <c r="JO247" s="33"/>
      <c r="JP247" s="33"/>
      <c r="JQ247" s="33"/>
      <c r="JR247" s="33"/>
      <c r="JS247" s="33"/>
      <c r="JT247" s="33"/>
      <c r="JU247" s="33"/>
      <c r="JV247" s="33"/>
      <c r="JW247" s="33"/>
      <c r="JX247" s="33"/>
      <c r="JY247" s="33"/>
      <c r="JZ247" s="33"/>
      <c r="KA247" s="33"/>
      <c r="KB247" s="33"/>
      <c r="KC247" s="33"/>
      <c r="KD247" s="33"/>
      <c r="KE247" s="33"/>
      <c r="KF247" s="33"/>
      <c r="KG247" s="33"/>
      <c r="KH247" s="33"/>
      <c r="KI247" s="33"/>
      <c r="KJ247" s="33"/>
      <c r="KK247" s="33"/>
      <c r="KL247" s="33"/>
    </row>
    <row r="248" spans="1:298" s="53" customFormat="1">
      <c r="A248" s="54"/>
      <c r="B248" s="51">
        <v>3400</v>
      </c>
      <c r="C248" s="53">
        <v>34.072764999999997</v>
      </c>
      <c r="D248" s="53">
        <f>64*0.92*0.18488008</f>
        <v>10.885739110400001</v>
      </c>
      <c r="E248" s="53">
        <f t="shared" si="30"/>
        <v>2.8977792000000004</v>
      </c>
      <c r="F248" s="53">
        <v>4.8800000000000003E-2</v>
      </c>
      <c r="G248" s="53">
        <v>4.9630000000000001E-2</v>
      </c>
      <c r="H248" s="76">
        <v>7.6386799999999999</v>
      </c>
      <c r="I248" s="76">
        <v>7.6386799999999999</v>
      </c>
      <c r="J248" s="51">
        <f t="shared" si="35"/>
        <v>7.6386799999999999</v>
      </c>
      <c r="K248" s="56">
        <v>200</v>
      </c>
      <c r="L248" s="53">
        <v>1</v>
      </c>
      <c r="M248" s="52">
        <f t="shared" si="36"/>
        <v>33.988763536809145</v>
      </c>
      <c r="N248" s="53">
        <f t="shared" si="37"/>
        <v>370.90723055996824</v>
      </c>
      <c r="O248">
        <f t="shared" si="32"/>
        <v>1.6627509319999945</v>
      </c>
      <c r="P248">
        <f t="shared" si="33"/>
        <v>1.6910313269499966</v>
      </c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79"/>
      <c r="AN248" s="33"/>
      <c r="AO248" s="33"/>
      <c r="AP248" s="33"/>
      <c r="AQ248" s="33"/>
      <c r="AR248" s="33"/>
      <c r="AS248" s="78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  <c r="GE248" s="33"/>
      <c r="GF248" s="33"/>
      <c r="GG248" s="33"/>
      <c r="GH248" s="33"/>
      <c r="GI248" s="33"/>
      <c r="GJ248" s="33"/>
      <c r="GK248" s="33"/>
      <c r="GL248" s="33"/>
      <c r="GM248" s="33"/>
      <c r="GN248" s="33"/>
      <c r="GO248" s="33"/>
      <c r="GP248" s="33"/>
      <c r="GQ248" s="33"/>
      <c r="GR248" s="33"/>
      <c r="GS248" s="33"/>
      <c r="GT248" s="33"/>
      <c r="GU248" s="33"/>
      <c r="GV248" s="33"/>
      <c r="GW248" s="33"/>
      <c r="GX248" s="33"/>
      <c r="GY248" s="33"/>
      <c r="GZ248" s="33"/>
      <c r="HA248" s="33"/>
      <c r="HB248" s="33"/>
      <c r="HC248" s="33"/>
      <c r="HD248" s="33"/>
      <c r="HE248" s="33"/>
      <c r="HF248" s="33"/>
      <c r="HG248" s="33"/>
      <c r="HH248" s="33"/>
      <c r="HI248" s="33"/>
      <c r="HJ248" s="33"/>
      <c r="HK248" s="33"/>
      <c r="HL248" s="33"/>
      <c r="HM248" s="33"/>
      <c r="HN248" s="33"/>
      <c r="HO248" s="33"/>
      <c r="HP248" s="33"/>
      <c r="HQ248" s="33"/>
      <c r="HR248" s="33"/>
      <c r="HS248" s="33"/>
      <c r="HT248" s="33"/>
      <c r="HU248" s="33"/>
      <c r="HV248" s="33"/>
      <c r="HW248" s="33"/>
      <c r="HX248" s="33"/>
      <c r="HY248" s="33"/>
      <c r="HZ248" s="33"/>
      <c r="IA248" s="33"/>
      <c r="IB248" s="33"/>
      <c r="IC248" s="33"/>
      <c r="ID248" s="33"/>
      <c r="IE248" s="33"/>
      <c r="IF248" s="33"/>
      <c r="IG248" s="33"/>
      <c r="IH248" s="33"/>
      <c r="II248" s="33"/>
      <c r="IJ248" s="33"/>
      <c r="IK248" s="33"/>
      <c r="IL248" s="33"/>
      <c r="IM248" s="33"/>
      <c r="IN248" s="33"/>
      <c r="IO248" s="33"/>
      <c r="IP248" s="33"/>
      <c r="IQ248" s="33"/>
      <c r="IR248" s="33"/>
      <c r="IS248" s="33"/>
      <c r="IT248" s="33"/>
      <c r="IU248" s="33"/>
      <c r="IV248" s="33"/>
      <c r="IW248" s="33"/>
      <c r="IX248" s="33"/>
      <c r="IY248" s="33"/>
      <c r="IZ248" s="33"/>
      <c r="JA248" s="33"/>
      <c r="JB248" s="33"/>
      <c r="JC248" s="33"/>
      <c r="JD248" s="33"/>
      <c r="JE248" s="33"/>
      <c r="JF248" s="33"/>
      <c r="JG248" s="33"/>
      <c r="JH248" s="33"/>
      <c r="JI248" s="33"/>
      <c r="JJ248" s="33"/>
      <c r="JK248" s="33"/>
      <c r="JL248" s="33"/>
      <c r="JM248" s="33"/>
      <c r="JN248" s="33"/>
      <c r="JO248" s="33"/>
      <c r="JP248" s="33"/>
      <c r="JQ248" s="33"/>
      <c r="JR248" s="33"/>
      <c r="JS248" s="33"/>
      <c r="JT248" s="33"/>
      <c r="JU248" s="33"/>
      <c r="JV248" s="33"/>
      <c r="JW248" s="33"/>
      <c r="JX248" s="33"/>
      <c r="JY248" s="33"/>
      <c r="JZ248" s="33"/>
      <c r="KA248" s="33"/>
      <c r="KB248" s="33"/>
      <c r="KC248" s="33"/>
      <c r="KD248" s="33"/>
      <c r="KE248" s="33"/>
      <c r="KF248" s="33"/>
      <c r="KG248" s="33"/>
      <c r="KH248" s="33"/>
      <c r="KI248" s="33"/>
      <c r="KJ248" s="33"/>
      <c r="KK248" s="33"/>
      <c r="KL248" s="33"/>
    </row>
    <row r="249" spans="1:298" s="53" customFormat="1">
      <c r="A249" s="54"/>
      <c r="B249" s="51">
        <v>3400</v>
      </c>
      <c r="C249" s="53">
        <v>53.811010000000003</v>
      </c>
      <c r="D249" s="53">
        <f>64*0.92*0.20239833</f>
        <v>11.917213670399999</v>
      </c>
      <c r="E249" s="53">
        <f t="shared" si="30"/>
        <v>3.1680384000000004</v>
      </c>
      <c r="F249" s="53">
        <v>5.3802000000000003E-2</v>
      </c>
      <c r="G249" s="53">
        <v>5.3808000000000002E-2</v>
      </c>
      <c r="H249" s="76">
        <v>11.9674</v>
      </c>
      <c r="I249" s="76">
        <v>11.9674</v>
      </c>
      <c r="J249" s="51">
        <f t="shared" si="35"/>
        <v>11.9674</v>
      </c>
      <c r="K249" s="56">
        <v>200</v>
      </c>
      <c r="L249" s="53">
        <v>1</v>
      </c>
      <c r="M249" s="52">
        <f t="shared" si="36"/>
        <v>51.795591031850442</v>
      </c>
      <c r="N249" s="53">
        <f t="shared" si="37"/>
        <v>641.2773039900311</v>
      </c>
      <c r="O249">
        <f t="shared" si="32"/>
        <v>2.8951399600199466</v>
      </c>
      <c r="P249">
        <f t="shared" si="33"/>
        <v>2.8954628260800064</v>
      </c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79"/>
      <c r="AN249" s="33"/>
      <c r="AO249" s="33"/>
      <c r="AP249" s="33"/>
      <c r="AQ249" s="33"/>
      <c r="AR249" s="33"/>
      <c r="AS249" s="78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  <c r="GE249" s="33"/>
      <c r="GF249" s="33"/>
      <c r="GG249" s="33"/>
      <c r="GH249" s="33"/>
      <c r="GI249" s="33"/>
      <c r="GJ249" s="33"/>
      <c r="GK249" s="33"/>
      <c r="GL249" s="33"/>
      <c r="GM249" s="33"/>
      <c r="GN249" s="33"/>
      <c r="GO249" s="33"/>
      <c r="GP249" s="33"/>
      <c r="GQ249" s="33"/>
      <c r="GR249" s="33"/>
      <c r="GS249" s="33"/>
      <c r="GT249" s="33"/>
      <c r="GU249" s="33"/>
      <c r="GV249" s="33"/>
      <c r="GW249" s="33"/>
      <c r="GX249" s="33"/>
      <c r="GY249" s="33"/>
      <c r="GZ249" s="33"/>
      <c r="HA249" s="33"/>
      <c r="HB249" s="33"/>
      <c r="HC249" s="33"/>
      <c r="HD249" s="33"/>
      <c r="HE249" s="33"/>
      <c r="HF249" s="33"/>
      <c r="HG249" s="33"/>
      <c r="HH249" s="33"/>
      <c r="HI249" s="33"/>
      <c r="HJ249" s="33"/>
      <c r="HK249" s="33"/>
      <c r="HL249" s="33"/>
      <c r="HM249" s="33"/>
      <c r="HN249" s="33"/>
      <c r="HO249" s="33"/>
      <c r="HP249" s="33"/>
      <c r="HQ249" s="33"/>
      <c r="HR249" s="33"/>
      <c r="HS249" s="33"/>
      <c r="HT249" s="33"/>
      <c r="HU249" s="33"/>
      <c r="HV249" s="33"/>
      <c r="HW249" s="33"/>
      <c r="HX249" s="33"/>
      <c r="HY249" s="33"/>
      <c r="HZ249" s="33"/>
      <c r="IA249" s="33"/>
      <c r="IB249" s="33"/>
      <c r="IC249" s="33"/>
      <c r="ID249" s="33"/>
      <c r="IE249" s="33"/>
      <c r="IF249" s="33"/>
      <c r="IG249" s="33"/>
      <c r="IH249" s="33"/>
      <c r="II249" s="33"/>
      <c r="IJ249" s="33"/>
      <c r="IK249" s="33"/>
      <c r="IL249" s="33"/>
      <c r="IM249" s="33"/>
      <c r="IN249" s="33"/>
      <c r="IO249" s="33"/>
      <c r="IP249" s="33"/>
      <c r="IQ249" s="33"/>
      <c r="IR249" s="33"/>
      <c r="IS249" s="33"/>
      <c r="IT249" s="33"/>
      <c r="IU249" s="33"/>
      <c r="IV249" s="33"/>
      <c r="IW249" s="33"/>
      <c r="IX249" s="33"/>
      <c r="IY249" s="33"/>
      <c r="IZ249" s="33"/>
      <c r="JA249" s="33"/>
      <c r="JB249" s="33"/>
      <c r="JC249" s="33"/>
      <c r="JD249" s="33"/>
      <c r="JE249" s="33"/>
      <c r="JF249" s="33"/>
      <c r="JG249" s="33"/>
      <c r="JH249" s="33"/>
      <c r="JI249" s="33"/>
      <c r="JJ249" s="33"/>
      <c r="JK249" s="33"/>
      <c r="JL249" s="33"/>
      <c r="JM249" s="33"/>
      <c r="JN249" s="33"/>
      <c r="JO249" s="33"/>
      <c r="JP249" s="33"/>
      <c r="JQ249" s="33"/>
      <c r="JR249" s="33"/>
      <c r="JS249" s="33"/>
      <c r="JT249" s="33"/>
      <c r="JU249" s="33"/>
      <c r="JV249" s="33"/>
      <c r="JW249" s="33"/>
      <c r="JX249" s="33"/>
      <c r="JY249" s="33"/>
      <c r="JZ249" s="33"/>
      <c r="KA249" s="33"/>
      <c r="KB249" s="33"/>
      <c r="KC249" s="33"/>
      <c r="KD249" s="33"/>
      <c r="KE249" s="33"/>
      <c r="KF249" s="33"/>
      <c r="KG249" s="33"/>
      <c r="KH249" s="33"/>
      <c r="KI249" s="33"/>
      <c r="KJ249" s="33"/>
      <c r="KK249" s="33"/>
      <c r="KL249" s="33"/>
    </row>
    <row r="250" spans="1:298" s="53" customFormat="1">
      <c r="A250" s="54"/>
      <c r="B250" s="51">
        <v>3400</v>
      </c>
      <c r="C250" s="53">
        <v>83.52516</v>
      </c>
      <c r="D250" s="53">
        <f>64*0.92*0.258707</f>
        <v>15.232668160000001</v>
      </c>
      <c r="E250" s="53">
        <f t="shared" si="30"/>
        <v>4.0519449600000002</v>
      </c>
      <c r="F250" s="53">
        <v>6.8817000000000003E-2</v>
      </c>
      <c r="G250" s="53">
        <v>6.8817000000000003E-2</v>
      </c>
      <c r="H250" s="76">
        <v>18.703700000000001</v>
      </c>
      <c r="I250" s="76">
        <v>18.703700000000001</v>
      </c>
      <c r="J250" s="51">
        <f t="shared" si="35"/>
        <v>18.703700000000001</v>
      </c>
      <c r="K250" s="56">
        <v>200</v>
      </c>
      <c r="L250" s="53">
        <v>1</v>
      </c>
      <c r="M250" s="52">
        <f t="shared" si="36"/>
        <v>87.713091328087046</v>
      </c>
      <c r="N250" s="53">
        <f t="shared" si="37"/>
        <v>1272.3110452909057</v>
      </c>
      <c r="O250">
        <f t="shared" si="32"/>
        <v>5.7479509357199277</v>
      </c>
      <c r="P250">
        <f t="shared" si="33"/>
        <v>5.7479509357199277</v>
      </c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79"/>
      <c r="AN250" s="33"/>
      <c r="AO250" s="33"/>
      <c r="AP250" s="33"/>
      <c r="AQ250" s="33"/>
      <c r="AR250" s="33"/>
      <c r="AS250" s="78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  <c r="GE250" s="33"/>
      <c r="GF250" s="33"/>
      <c r="GG250" s="33"/>
      <c r="GH250" s="33"/>
      <c r="GI250" s="33"/>
      <c r="GJ250" s="33"/>
      <c r="GK250" s="33"/>
      <c r="GL250" s="33"/>
      <c r="GM250" s="33"/>
      <c r="GN250" s="33"/>
      <c r="GO250" s="33"/>
      <c r="GP250" s="33"/>
      <c r="GQ250" s="33"/>
      <c r="GR250" s="33"/>
      <c r="GS250" s="33"/>
      <c r="GT250" s="33"/>
      <c r="GU250" s="33"/>
      <c r="GV250" s="33"/>
      <c r="GW250" s="33"/>
      <c r="GX250" s="33"/>
      <c r="GY250" s="33"/>
      <c r="GZ250" s="33"/>
      <c r="HA250" s="33"/>
      <c r="HB250" s="33"/>
      <c r="HC250" s="33"/>
      <c r="HD250" s="33"/>
      <c r="HE250" s="33"/>
      <c r="HF250" s="33"/>
      <c r="HG250" s="33"/>
      <c r="HH250" s="33"/>
      <c r="HI250" s="33"/>
      <c r="HJ250" s="33"/>
      <c r="HK250" s="33"/>
      <c r="HL250" s="33"/>
      <c r="HM250" s="33"/>
      <c r="HN250" s="33"/>
      <c r="HO250" s="33"/>
      <c r="HP250" s="33"/>
      <c r="HQ250" s="33"/>
      <c r="HR250" s="33"/>
      <c r="HS250" s="33"/>
      <c r="HT250" s="33"/>
      <c r="HU250" s="33"/>
      <c r="HV250" s="33"/>
      <c r="HW250" s="33"/>
      <c r="HX250" s="33"/>
      <c r="HY250" s="33"/>
      <c r="HZ250" s="33"/>
      <c r="IA250" s="33"/>
      <c r="IB250" s="33"/>
      <c r="IC250" s="33"/>
      <c r="ID250" s="33"/>
      <c r="IE250" s="33"/>
      <c r="IF250" s="33"/>
      <c r="IG250" s="33"/>
      <c r="IH250" s="33"/>
      <c r="II250" s="33"/>
      <c r="IJ250" s="33"/>
      <c r="IK250" s="33"/>
      <c r="IL250" s="33"/>
      <c r="IM250" s="33"/>
      <c r="IN250" s="33"/>
      <c r="IO250" s="33"/>
      <c r="IP250" s="33"/>
      <c r="IQ250" s="33"/>
      <c r="IR250" s="33"/>
      <c r="IS250" s="33"/>
      <c r="IT250" s="33"/>
      <c r="IU250" s="33"/>
      <c r="IV250" s="33"/>
      <c r="IW250" s="33"/>
      <c r="IX250" s="33"/>
      <c r="IY250" s="33"/>
      <c r="IZ250" s="33"/>
      <c r="JA250" s="33"/>
      <c r="JB250" s="33"/>
      <c r="JC250" s="33"/>
      <c r="JD250" s="33"/>
      <c r="JE250" s="33"/>
      <c r="JF250" s="33"/>
      <c r="JG250" s="33"/>
      <c r="JH250" s="33"/>
      <c r="JI250" s="33"/>
      <c r="JJ250" s="33"/>
      <c r="JK250" s="33"/>
      <c r="JL250" s="33"/>
      <c r="JM250" s="33"/>
      <c r="JN250" s="33"/>
      <c r="JO250" s="33"/>
      <c r="JP250" s="33"/>
      <c r="JQ250" s="33"/>
      <c r="JR250" s="33"/>
      <c r="JS250" s="33"/>
      <c r="JT250" s="33"/>
      <c r="JU250" s="33"/>
      <c r="JV250" s="33"/>
      <c r="JW250" s="33"/>
      <c r="JX250" s="33"/>
      <c r="JY250" s="33"/>
      <c r="JZ250" s="33"/>
      <c r="KA250" s="33"/>
      <c r="KB250" s="33"/>
      <c r="KC250" s="33"/>
      <c r="KD250" s="33"/>
      <c r="KE250" s="33"/>
      <c r="KF250" s="33"/>
      <c r="KG250" s="33"/>
      <c r="KH250" s="33"/>
      <c r="KI250" s="33"/>
      <c r="KJ250" s="33"/>
      <c r="KK250" s="33"/>
      <c r="KL250" s="33"/>
    </row>
    <row r="251" spans="1:298" s="33" customFormat="1">
      <c r="A251" s="10" t="s">
        <v>14</v>
      </c>
      <c r="B251" s="4">
        <v>3900</v>
      </c>
      <c r="C251" s="33">
        <v>4</v>
      </c>
      <c r="D251" s="33">
        <f>64*0.92*0.113685</f>
        <v>6.6937727999999996</v>
      </c>
      <c r="E251" s="33">
        <f t="shared" si="30"/>
        <v>0.99059712</v>
      </c>
      <c r="F251" s="33">
        <v>1.46716E-2</v>
      </c>
      <c r="G251" s="33">
        <v>1.8976400000000001E-2</v>
      </c>
      <c r="H251" s="7">
        <v>0.06</v>
      </c>
      <c r="I251" s="7">
        <v>0.06</v>
      </c>
      <c r="J251" s="4">
        <f>0.015*C251</f>
        <v>0.06</v>
      </c>
      <c r="K251" s="58">
        <v>100</v>
      </c>
      <c r="L251" s="33">
        <v>1</v>
      </c>
      <c r="M251" s="7">
        <v>3.8893394319999999</v>
      </c>
      <c r="N251" s="33">
        <f t="shared" si="34"/>
        <v>26.775091199999999</v>
      </c>
      <c r="O251">
        <f t="shared" si="32"/>
        <v>5.8686399999999139E-2</v>
      </c>
      <c r="P251">
        <f t="shared" si="33"/>
        <v>7.5905599999998685E-2</v>
      </c>
      <c r="R251" s="33">
        <f>N251+Qy!R282</f>
        <v>57.279988617969892</v>
      </c>
      <c r="AM251" s="79"/>
      <c r="AS251" s="78"/>
    </row>
    <row r="252" spans="1:298" s="33" customFormat="1">
      <c r="A252" s="65" t="s">
        <v>78</v>
      </c>
      <c r="B252" s="4">
        <v>3900</v>
      </c>
      <c r="C252" s="33">
        <v>4.30708</v>
      </c>
      <c r="D252" s="33">
        <f>64*0.92*0.115752</f>
        <v>6.8154777600000003</v>
      </c>
      <c r="E252" s="33">
        <f t="shared" si="30"/>
        <v>0.89152268800000012</v>
      </c>
      <c r="F252" s="33">
        <v>1.14787E-2</v>
      </c>
      <c r="G252" s="33">
        <v>1.8804000000000001E-2</v>
      </c>
      <c r="H252" s="7">
        <v>6.4606200000000003E-2</v>
      </c>
      <c r="I252" s="7">
        <v>6.4606200000000003E-2</v>
      </c>
      <c r="J252" s="4">
        <f t="shared" ref="J252:J300" si="38">0.015*C252</f>
        <v>6.4606200000000003E-2</v>
      </c>
      <c r="K252" s="58">
        <v>100</v>
      </c>
      <c r="L252" s="33">
        <v>1</v>
      </c>
      <c r="M252" s="7">
        <v>4.2286268610000004</v>
      </c>
      <c r="N252" s="33">
        <f t="shared" si="34"/>
        <v>29.354807950540803</v>
      </c>
      <c r="O252">
        <f t="shared" si="32"/>
        <v>4.9439679195998565E-2</v>
      </c>
      <c r="P252">
        <f t="shared" si="33"/>
        <v>8.0990332320002523E-2</v>
      </c>
      <c r="R252" s="33">
        <f>N252+Qy!R283</f>
        <v>62.24558930560211</v>
      </c>
      <c r="AM252" s="79"/>
      <c r="AS252" s="78"/>
    </row>
    <row r="253" spans="1:298" s="33" customFormat="1">
      <c r="A253" s="45"/>
      <c r="B253" s="4">
        <v>3900</v>
      </c>
      <c r="C253" s="33">
        <v>4.63774</v>
      </c>
      <c r="D253" s="33">
        <f>64*0.92*0.11721</f>
        <v>6.9013248000000003</v>
      </c>
      <c r="E253" s="33">
        <f t="shared" si="30"/>
        <v>0.82133331200000004</v>
      </c>
      <c r="F253" s="33">
        <v>9.8344499999999998E-3</v>
      </c>
      <c r="G253" s="33">
        <v>1.80641E-2</v>
      </c>
      <c r="H253" s="7">
        <v>6.9566100000000006E-2</v>
      </c>
      <c r="I253" s="7">
        <v>6.9566100000000006E-2</v>
      </c>
      <c r="J253" s="4">
        <f t="shared" si="38"/>
        <v>6.9566099999999992E-2</v>
      </c>
      <c r="K253" s="58">
        <v>100</v>
      </c>
      <c r="L253" s="33">
        <v>1</v>
      </c>
      <c r="M253" s="7">
        <v>4.5969080120000001</v>
      </c>
      <c r="N253" s="33">
        <f t="shared" si="34"/>
        <v>32.006550077951999</v>
      </c>
      <c r="O253">
        <f t="shared" si="32"/>
        <v>4.5609622142997353E-2</v>
      </c>
      <c r="P253">
        <f t="shared" si="33"/>
        <v>8.377659913399782E-2</v>
      </c>
      <c r="R253" s="33">
        <f>N253+Qy!R284</f>
        <v>67.445396343143713</v>
      </c>
      <c r="AM253" s="79"/>
      <c r="AS253" s="78"/>
    </row>
    <row r="254" spans="1:298" s="33" customFormat="1">
      <c r="A254" s="45"/>
      <c r="B254" s="4">
        <v>3900</v>
      </c>
      <c r="C254" s="33">
        <v>4.9937800000000001</v>
      </c>
      <c r="D254" s="33">
        <f>64*0.92*0.118085</f>
        <v>6.9528448000000003</v>
      </c>
      <c r="E254" s="33">
        <f t="shared" si="30"/>
        <v>0.72275258880000004</v>
      </c>
      <c r="F254" s="33">
        <v>7.7705200000000004E-3</v>
      </c>
      <c r="G254" s="33">
        <v>1.6779499999999999E-2</v>
      </c>
      <c r="H254" s="7">
        <v>7.4906700000000007E-2</v>
      </c>
      <c r="I254" s="7">
        <v>7.4906700000000007E-2</v>
      </c>
      <c r="J254" s="4">
        <f t="shared" si="38"/>
        <v>7.4906699999999993E-2</v>
      </c>
      <c r="K254" s="58">
        <v>100</v>
      </c>
      <c r="L254" s="33">
        <v>1</v>
      </c>
      <c r="M254" s="7">
        <v>4.9960620369999997</v>
      </c>
      <c r="N254" s="33">
        <f t="shared" si="34"/>
        <v>34.720977305344</v>
      </c>
      <c r="O254">
        <f t="shared" si="32"/>
        <v>3.8804267365605938E-2</v>
      </c>
      <c r="P254">
        <f t="shared" si="33"/>
        <v>8.3793131509999341E-2</v>
      </c>
      <c r="R254" s="33">
        <f>N254+Qy!R285</f>
        <v>72.874351128393045</v>
      </c>
      <c r="AM254" s="79"/>
      <c r="AS254" s="78"/>
    </row>
    <row r="255" spans="1:298" s="33" customFormat="1">
      <c r="A255" s="45"/>
      <c r="B255" s="4">
        <v>3900</v>
      </c>
      <c r="C255" s="33">
        <v>5.3771500000000003</v>
      </c>
      <c r="D255" s="33">
        <f>64*0.92*0.118472</f>
        <v>6.9756313600000004</v>
      </c>
      <c r="E255" s="33">
        <f t="shared" si="30"/>
        <v>0.61179352320000002</v>
      </c>
      <c r="F255" s="33">
        <v>5.7563299999999996E-3</v>
      </c>
      <c r="G255" s="33">
        <v>1.50247E-2</v>
      </c>
      <c r="H255" s="7">
        <v>8.065725E-2</v>
      </c>
      <c r="I255" s="7">
        <v>8.065725E-2</v>
      </c>
      <c r="J255" s="4">
        <f t="shared" si="38"/>
        <v>8.065725E-2</v>
      </c>
      <c r="K255" s="58">
        <v>100</v>
      </c>
      <c r="L255" s="33">
        <v>1</v>
      </c>
      <c r="M255" s="7">
        <v>5.4279212189999999</v>
      </c>
      <c r="N255" s="33">
        <f t="shared" si="34"/>
        <v>37.509016167424001</v>
      </c>
      <c r="O255">
        <f t="shared" si="32"/>
        <v>3.0952649859500525E-2</v>
      </c>
      <c r="P255">
        <f t="shared" si="33"/>
        <v>8.0790065604993799E-2</v>
      </c>
      <c r="R255" s="33">
        <f>N255+Qy!R286</f>
        <v>78.546358165213604</v>
      </c>
      <c r="AM255" s="79"/>
      <c r="AS255" s="78"/>
    </row>
    <row r="256" spans="1:298" s="33" customFormat="1">
      <c r="A256" s="45"/>
      <c r="B256" s="4">
        <v>3900</v>
      </c>
      <c r="C256" s="33">
        <v>5.7899599999999998</v>
      </c>
      <c r="D256" s="33">
        <f>64*0.92*0.11855</f>
        <v>6.9802240000000007</v>
      </c>
      <c r="E256" s="33">
        <f t="shared" si="30"/>
        <v>0.54961536</v>
      </c>
      <c r="F256" s="33">
        <v>5.7242999999999999E-3</v>
      </c>
      <c r="G256" s="33">
        <v>1.29447E-2</v>
      </c>
      <c r="H256" s="7">
        <v>8.6849399999999993E-2</v>
      </c>
      <c r="I256" s="7">
        <v>8.6849399999999993E-2</v>
      </c>
      <c r="J256" s="4">
        <f t="shared" si="38"/>
        <v>8.6849399999999993E-2</v>
      </c>
      <c r="K256" s="58">
        <v>100</v>
      </c>
      <c r="L256" s="33">
        <v>1</v>
      </c>
      <c r="M256" s="7">
        <v>5.8942240249999998</v>
      </c>
      <c r="N256" s="33">
        <f t="shared" si="34"/>
        <v>40.415217751040004</v>
      </c>
      <c r="O256">
        <f t="shared" si="32"/>
        <v>3.3143468027994061E-2</v>
      </c>
      <c r="P256">
        <f t="shared" si="33"/>
        <v>7.4949295212000777E-2</v>
      </c>
      <c r="R256" s="33">
        <f>N256+Qy!R287</f>
        <v>84.507383624134945</v>
      </c>
      <c r="AM256" s="79"/>
      <c r="AS256" s="78"/>
    </row>
    <row r="257" spans="1:45" s="33" customFormat="1">
      <c r="A257" s="45"/>
      <c r="B257" s="4">
        <v>3900</v>
      </c>
      <c r="C257" s="33">
        <v>6.2344600000000003</v>
      </c>
      <c r="D257" s="33">
        <f>64*0.92*0.118616</f>
        <v>6.9841100800000007</v>
      </c>
      <c r="E257" s="33">
        <f t="shared" si="30"/>
        <v>0.47940037120000001</v>
      </c>
      <c r="F257" s="33">
        <v>5.4871800000000004E-3</v>
      </c>
      <c r="G257" s="33">
        <v>1.07968E-2</v>
      </c>
      <c r="H257" s="7">
        <v>9.35169E-2</v>
      </c>
      <c r="I257" s="7">
        <v>9.35169E-2</v>
      </c>
      <c r="J257" s="4">
        <f t="shared" si="38"/>
        <v>9.35169E-2</v>
      </c>
      <c r="K257" s="58">
        <v>100</v>
      </c>
      <c r="L257" s="33">
        <v>1</v>
      </c>
      <c r="M257" s="7">
        <v>6.396556017</v>
      </c>
      <c r="N257" s="33">
        <f t="shared" si="34"/>
        <v>43.542154929356805</v>
      </c>
      <c r="O257">
        <f t="shared" si="32"/>
        <v>3.420960422280217E-2</v>
      </c>
      <c r="P257">
        <f t="shared" si="33"/>
        <v>6.7312217727995005E-2</v>
      </c>
      <c r="R257" s="33">
        <f>N257+Qy!R288</f>
        <v>90.859569133447906</v>
      </c>
      <c r="AM257" s="79"/>
      <c r="AS257" s="78"/>
    </row>
    <row r="258" spans="1:45" s="33" customFormat="1">
      <c r="A258" s="45"/>
      <c r="B258" s="4">
        <v>3900</v>
      </c>
      <c r="C258" s="33">
        <v>6.7130799999999997</v>
      </c>
      <c r="D258" s="33">
        <f>64*0.92*0.118879</f>
        <v>6.9995955200000006</v>
      </c>
      <c r="E258" s="33">
        <f t="shared" si="30"/>
        <v>0.44757632000000008</v>
      </c>
      <c r="F258" s="33">
        <v>5.4493099999999997E-3</v>
      </c>
      <c r="G258" s="33">
        <v>9.7536900000000006E-3</v>
      </c>
      <c r="H258" s="7">
        <v>0.1006962</v>
      </c>
      <c r="I258" s="7">
        <v>0.1006962</v>
      </c>
      <c r="J258" s="4">
        <f t="shared" si="38"/>
        <v>0.10069619999999999</v>
      </c>
      <c r="K258" s="58">
        <v>100</v>
      </c>
      <c r="L258" s="33">
        <v>1</v>
      </c>
      <c r="M258" s="7">
        <v>6.9363438589999999</v>
      </c>
      <c r="N258" s="33">
        <f t="shared" si="34"/>
        <v>46.988844693401603</v>
      </c>
      <c r="O258">
        <f t="shared" si="32"/>
        <v>3.6581653974799622E-2</v>
      </c>
      <c r="P258">
        <f t="shared" si="33"/>
        <v>6.5477301265204346E-2</v>
      </c>
      <c r="R258" s="33">
        <f>N258+Qy!R289</f>
        <v>97.699765218204959</v>
      </c>
      <c r="T258" s="59"/>
      <c r="X258" s="59"/>
      <c r="AB258" s="59"/>
      <c r="AM258" s="79"/>
      <c r="AS258" s="78"/>
    </row>
    <row r="259" spans="1:45" s="33" customFormat="1">
      <c r="A259" s="45"/>
      <c r="B259" s="4">
        <v>3900</v>
      </c>
      <c r="C259" s="33">
        <v>7.22844</v>
      </c>
      <c r="D259" s="33">
        <f>64*0.92*0.119378</f>
        <v>7.0289766399999998</v>
      </c>
      <c r="E259" s="33">
        <f t="shared" si="30"/>
        <v>0.47725184000000004</v>
      </c>
      <c r="F259" s="33">
        <v>6.3036000000000003E-3</v>
      </c>
      <c r="G259" s="33">
        <v>9.9074000000000002E-3</v>
      </c>
      <c r="H259" s="7">
        <v>0.1084266</v>
      </c>
      <c r="I259" s="7">
        <v>0.1084266</v>
      </c>
      <c r="J259" s="4">
        <f t="shared" si="38"/>
        <v>0.1084266</v>
      </c>
      <c r="K259" s="58">
        <v>100</v>
      </c>
      <c r="L259" s="33">
        <v>1</v>
      </c>
      <c r="M259" s="7">
        <v>7.514900559</v>
      </c>
      <c r="N259" s="33">
        <f t="shared" si="34"/>
        <v>50.808535903641598</v>
      </c>
      <c r="O259">
        <f t="shared" ref="O259:O322" si="39">C259*(D259+F259)*L259-N259</f>
        <v>4.5565194383996754E-2</v>
      </c>
      <c r="P259">
        <f t="shared" ref="P259:P322" si="40">N259-C259*(D259-G259)*L259</f>
        <v>7.1615046456003029E-2</v>
      </c>
      <c r="R259" s="33">
        <f>N259+Qy!R290</f>
        <v>105.07776206163594</v>
      </c>
      <c r="AM259" s="79"/>
      <c r="AS259" s="78"/>
    </row>
    <row r="260" spans="1:45" s="33" customFormat="1">
      <c r="A260" s="45"/>
      <c r="B260" s="4">
        <v>3900</v>
      </c>
      <c r="C260" s="33">
        <v>7.7833699999999997</v>
      </c>
      <c r="D260" s="33">
        <f>64*0.92*0.120149</f>
        <v>7.0743731200000006</v>
      </c>
      <c r="E260" s="33">
        <f t="shared" si="30"/>
        <v>0.53568935679999996</v>
      </c>
      <c r="F260" s="33">
        <v>8.0193699999999996E-3</v>
      </c>
      <c r="G260" s="33">
        <v>1.0176599999999999E-2</v>
      </c>
      <c r="H260" s="7">
        <v>0.11675054999999999</v>
      </c>
      <c r="I260" s="7">
        <v>0.11675054999999999</v>
      </c>
      <c r="J260" s="4">
        <f t="shared" si="38"/>
        <v>0.11675054999999999</v>
      </c>
      <c r="K260" s="58">
        <v>100</v>
      </c>
      <c r="L260" s="33">
        <v>1</v>
      </c>
      <c r="M260" s="7">
        <v>8.1335555930000005</v>
      </c>
      <c r="N260" s="33">
        <f t="shared" si="34"/>
        <v>55.0624635110144</v>
      </c>
      <c r="O260">
        <f t="shared" si="39"/>
        <v>6.2417723876905029E-2</v>
      </c>
      <c r="P260">
        <f t="shared" si="40"/>
        <v>7.920824314199848E-2</v>
      </c>
      <c r="R260" s="33">
        <f>N260+Qy!R291</f>
        <v>113.05096433612229</v>
      </c>
      <c r="AM260" s="79"/>
      <c r="AS260" s="78"/>
    </row>
    <row r="261" spans="1:45" s="33" customFormat="1">
      <c r="A261" s="45"/>
      <c r="B261" s="4">
        <v>3900</v>
      </c>
      <c r="C261" s="33">
        <v>8.3809000000000005</v>
      </c>
      <c r="D261" s="33">
        <f>64*0.92*0.121223</f>
        <v>7.1376102399999999</v>
      </c>
      <c r="E261" s="33">
        <f t="shared" si="30"/>
        <v>0.63799394560000011</v>
      </c>
      <c r="F261" s="33">
        <v>9.5625899999999993E-3</v>
      </c>
      <c r="G261" s="33">
        <v>1.21084E-2</v>
      </c>
      <c r="H261" s="7">
        <v>0.12571350000000001</v>
      </c>
      <c r="I261" s="7">
        <v>0.12571350000000001</v>
      </c>
      <c r="J261" s="4">
        <f t="shared" si="38"/>
        <v>0.12571350000000001</v>
      </c>
      <c r="K261" s="58">
        <v>100</v>
      </c>
      <c r="L261" s="33">
        <v>1</v>
      </c>
      <c r="M261" s="7">
        <v>8.793891726</v>
      </c>
      <c r="N261" s="33">
        <f t="shared" si="34"/>
        <v>59.819597660416001</v>
      </c>
      <c r="O261">
        <f t="shared" si="39"/>
        <v>8.0143110530997319E-2</v>
      </c>
      <c r="P261">
        <f t="shared" si="40"/>
        <v>0.10147928955999674</v>
      </c>
      <c r="R261" s="33">
        <f>N261+Qy!R292</f>
        <v>121.68557542704585</v>
      </c>
      <c r="AM261" s="79"/>
      <c r="AS261" s="78"/>
    </row>
    <row r="262" spans="1:45" s="33" customFormat="1">
      <c r="A262" s="45"/>
      <c r="B262" s="4">
        <v>3900</v>
      </c>
      <c r="C262" s="33">
        <v>9.0243099999999998</v>
      </c>
      <c r="D262" s="33">
        <f>64*0.92*0.122636</f>
        <v>7.2208076800000001</v>
      </c>
      <c r="E262" s="33">
        <f t="shared" si="30"/>
        <v>0.69325312000000006</v>
      </c>
      <c r="F262" s="33">
        <v>1.09024E-2</v>
      </c>
      <c r="G262" s="33">
        <v>1.26456E-2</v>
      </c>
      <c r="H262" s="7">
        <v>0.13536465</v>
      </c>
      <c r="I262" s="7">
        <v>0.13536465</v>
      </c>
      <c r="J262" s="4">
        <f t="shared" si="38"/>
        <v>0.13536465</v>
      </c>
      <c r="K262" s="58">
        <v>100</v>
      </c>
      <c r="L262" s="33">
        <v>1</v>
      </c>
      <c r="M262" s="7">
        <v>9.498295057</v>
      </c>
      <c r="N262" s="33">
        <f t="shared" si="34"/>
        <v>65.162806954700798</v>
      </c>
      <c r="O262">
        <f t="shared" si="39"/>
        <v>9.8386637344006544E-2</v>
      </c>
      <c r="P262">
        <f t="shared" si="40"/>
        <v>0.11411781453600156</v>
      </c>
      <c r="R262" s="33">
        <f>N262+Qy!R293</f>
        <v>131.06576839187096</v>
      </c>
      <c r="AM262" s="79"/>
      <c r="AS262" s="78"/>
    </row>
    <row r="263" spans="1:45" s="33" customFormat="1">
      <c r="A263" s="45"/>
      <c r="B263" s="4">
        <v>3900</v>
      </c>
      <c r="C263" s="33">
        <v>9.7171099999999999</v>
      </c>
      <c r="D263" s="33">
        <f>64*0.92*0.124415</f>
        <v>7.3255552000000002</v>
      </c>
      <c r="E263" s="33">
        <f t="shared" si="30"/>
        <v>0.75796224000000001</v>
      </c>
      <c r="F263" s="33">
        <v>1.20073E-2</v>
      </c>
      <c r="G263" s="33">
        <v>1.37387E-2</v>
      </c>
      <c r="H263" s="7">
        <v>0.14575664999999999</v>
      </c>
      <c r="I263" s="7">
        <v>0.14575664999999999</v>
      </c>
      <c r="J263" s="4">
        <f t="shared" si="38"/>
        <v>0.14575664999999999</v>
      </c>
      <c r="K263" s="58">
        <v>100</v>
      </c>
      <c r="L263" s="33">
        <v>1</v>
      </c>
      <c r="M263" s="7">
        <v>10.250938059999999</v>
      </c>
      <c r="N263" s="33">
        <f t="shared" si="34"/>
        <v>71.183225689471996</v>
      </c>
      <c r="O263">
        <f t="shared" si="39"/>
        <v>0.11667625490299827</v>
      </c>
      <c r="P263">
        <f t="shared" si="40"/>
        <v>0.13350045915699127</v>
      </c>
      <c r="R263" s="33">
        <f>N263+Qy!R294</f>
        <v>141.29298102087586</v>
      </c>
      <c r="AM263" s="79"/>
      <c r="AS263" s="78"/>
    </row>
    <row r="264" spans="1:45" s="33" customFormat="1">
      <c r="A264" s="45"/>
      <c r="B264" s="4">
        <v>3900</v>
      </c>
      <c r="C264" s="33">
        <v>10.463100000000001</v>
      </c>
      <c r="D264" s="33">
        <f>64*0.92*0.126584</f>
        <v>7.4532659200000007</v>
      </c>
      <c r="E264" s="33">
        <f t="shared" si="30"/>
        <v>0.83000192000000006</v>
      </c>
      <c r="F264" s="33">
        <v>1.2848099999999999E-2</v>
      </c>
      <c r="G264" s="33">
        <v>1.53449E-2</v>
      </c>
      <c r="H264" s="7">
        <v>0.15694649999999999</v>
      </c>
      <c r="I264" s="7">
        <v>0.15694649999999999</v>
      </c>
      <c r="J264" s="4">
        <f t="shared" si="38"/>
        <v>0.15694650000000002</v>
      </c>
      <c r="K264" s="58">
        <v>100</v>
      </c>
      <c r="L264" s="33">
        <v>1</v>
      </c>
      <c r="M264" s="7">
        <v>11.058942869999999</v>
      </c>
      <c r="N264" s="33">
        <f t="shared" si="34"/>
        <v>77.984266647552019</v>
      </c>
      <c r="O264">
        <f t="shared" si="39"/>
        <v>0.13443095510999115</v>
      </c>
      <c r="P264">
        <f t="shared" si="40"/>
        <v>0.16055522319000204</v>
      </c>
      <c r="R264" s="33">
        <f>N264+Qy!R295</f>
        <v>152.49498239350288</v>
      </c>
      <c r="AC264" s="59"/>
      <c r="AM264" s="79"/>
      <c r="AS264" s="78"/>
    </row>
    <row r="265" spans="1:45" s="33" customFormat="1">
      <c r="A265" s="45"/>
      <c r="B265" s="4">
        <v>3900</v>
      </c>
      <c r="C265" s="33">
        <v>11.266299999999999</v>
      </c>
      <c r="D265" s="33">
        <f>64*0.92*0.129156</f>
        <v>7.6047052800000001</v>
      </c>
      <c r="E265" s="33">
        <f t="shared" si="30"/>
        <v>0.84922623999999991</v>
      </c>
      <c r="F265" s="33">
        <v>1.3408099999999999E-2</v>
      </c>
      <c r="G265" s="33">
        <v>1.5437899999999999E-2</v>
      </c>
      <c r="H265" s="7">
        <v>0.16899449999999999</v>
      </c>
      <c r="I265" s="7">
        <v>0.16899449999999999</v>
      </c>
      <c r="J265" s="4">
        <f t="shared" si="38"/>
        <v>0.16899449999999999</v>
      </c>
      <c r="K265" s="58">
        <v>100</v>
      </c>
      <c r="L265" s="33">
        <v>1</v>
      </c>
      <c r="M265" s="7">
        <v>11.92876661</v>
      </c>
      <c r="N265" s="33">
        <f t="shared" si="34"/>
        <v>85.676891096063997</v>
      </c>
      <c r="O265">
        <f t="shared" si="39"/>
        <v>0.15105967703000545</v>
      </c>
      <c r="P265">
        <f t="shared" si="40"/>
        <v>0.17392801277000558</v>
      </c>
      <c r="R265" s="33">
        <f>N265+Qy!R296</f>
        <v>164.80018651279647</v>
      </c>
      <c r="AM265" s="79"/>
      <c r="AS265" s="78"/>
    </row>
    <row r="266" spans="1:45" s="33" customFormat="1">
      <c r="A266" s="45"/>
      <c r="B266" s="4">
        <v>3900</v>
      </c>
      <c r="C266" s="33">
        <v>12.1313</v>
      </c>
      <c r="D266" s="33">
        <f>64*0.92*0.132127</f>
        <v>7.77963776</v>
      </c>
      <c r="E266" s="33">
        <f t="shared" ref="E266:E300" si="41">0.92*64*0.5*(F266+G266)</f>
        <v>0.84475135999999995</v>
      </c>
      <c r="F266" s="33">
        <v>1.36779E-2</v>
      </c>
      <c r="G266" s="33">
        <v>1.5016099999999999E-2</v>
      </c>
      <c r="H266" s="7">
        <v>0.18196950000000001</v>
      </c>
      <c r="I266" s="7">
        <v>0.18196950000000001</v>
      </c>
      <c r="J266" s="4">
        <f t="shared" si="38"/>
        <v>0.18196949999999998</v>
      </c>
      <c r="K266" s="58">
        <v>100</v>
      </c>
      <c r="L266" s="33">
        <v>1</v>
      </c>
      <c r="M266" s="7">
        <v>12.864963270000001</v>
      </c>
      <c r="N266" s="33">
        <f t="shared" si="34"/>
        <v>94.377119557887994</v>
      </c>
      <c r="O266">
        <f t="shared" si="39"/>
        <v>0.165930708270011</v>
      </c>
      <c r="P266">
        <f t="shared" si="40"/>
        <v>0.18216481393000095</v>
      </c>
      <c r="R266" s="33">
        <f>N266+Qy!R297</f>
        <v>178.32942187375755</v>
      </c>
      <c r="AM266" s="79"/>
      <c r="AS266" s="78"/>
    </row>
    <row r="267" spans="1:45" s="33" customFormat="1">
      <c r="A267" s="45"/>
      <c r="B267" s="4">
        <v>3900</v>
      </c>
      <c r="C267" s="33">
        <v>13.0626</v>
      </c>
      <c r="D267" s="33">
        <f>64*0.92*0.13547</f>
        <v>7.9764736000000012</v>
      </c>
      <c r="E267" s="33">
        <f t="shared" si="41"/>
        <v>0.81804927999999999</v>
      </c>
      <c r="F267" s="33">
        <v>1.36706E-2</v>
      </c>
      <c r="G267" s="33">
        <v>1.4116399999999999E-2</v>
      </c>
      <c r="H267" s="7">
        <v>0.195939</v>
      </c>
      <c r="I267" s="7">
        <v>0.195939</v>
      </c>
      <c r="J267" s="4">
        <f t="shared" si="38"/>
        <v>0.195939</v>
      </c>
      <c r="K267" s="58">
        <v>100</v>
      </c>
      <c r="L267" s="33">
        <v>1</v>
      </c>
      <c r="M267" s="7">
        <v>13.87161955</v>
      </c>
      <c r="N267" s="33">
        <f t="shared" si="34"/>
        <v>104.19348404736002</v>
      </c>
      <c r="O267">
        <f t="shared" si="39"/>
        <v>0.17857357955999476</v>
      </c>
      <c r="P267">
        <f t="shared" si="40"/>
        <v>0.18439688664000187</v>
      </c>
      <c r="R267" s="33">
        <f>N267+Qy!R298</f>
        <v>193.19197332146683</v>
      </c>
      <c r="AM267" s="79"/>
      <c r="AS267" s="78"/>
    </row>
    <row r="268" spans="1:45" s="33" customFormat="1">
      <c r="A268" s="45"/>
      <c r="B268" s="4">
        <v>3900</v>
      </c>
      <c r="C268" s="33">
        <v>14.0654</v>
      </c>
      <c r="D268" s="33">
        <f>64*0.92*0.139125</f>
        <v>8.1916799999999999</v>
      </c>
      <c r="E268" s="33">
        <f t="shared" si="41"/>
        <v>0.77294720000000006</v>
      </c>
      <c r="F268" s="33">
        <v>1.34258E-2</v>
      </c>
      <c r="G268" s="33">
        <v>1.2829200000000001E-2</v>
      </c>
      <c r="H268" s="7">
        <v>0.210981</v>
      </c>
      <c r="I268" s="7">
        <v>0.210981</v>
      </c>
      <c r="J268" s="4">
        <f t="shared" si="38"/>
        <v>0.210981</v>
      </c>
      <c r="K268" s="58">
        <v>100</v>
      </c>
      <c r="L268" s="33">
        <v>1</v>
      </c>
      <c r="M268" s="7">
        <v>14.95352742</v>
      </c>
      <c r="N268" s="33">
        <f t="shared" si="34"/>
        <v>115.21925587200001</v>
      </c>
      <c r="O268">
        <f t="shared" si="39"/>
        <v>0.18883924732000423</v>
      </c>
      <c r="P268">
        <f t="shared" si="40"/>
        <v>0.18044782968000561</v>
      </c>
      <c r="R268" s="33">
        <f>N268+Qy!R299</f>
        <v>209.48391638142647</v>
      </c>
      <c r="AM268" s="79"/>
      <c r="AS268" s="78"/>
    </row>
    <row r="269" spans="1:45" s="33" customFormat="1">
      <c r="A269" s="45"/>
      <c r="B269" s="4">
        <v>3900</v>
      </c>
      <c r="C269" s="33">
        <v>15.145200000000001</v>
      </c>
      <c r="D269" s="33">
        <f>64*0.92*0.142984</f>
        <v>8.4188979200000009</v>
      </c>
      <c r="E269" s="33">
        <f t="shared" si="41"/>
        <v>0.71851264000000004</v>
      </c>
      <c r="F269" s="33">
        <v>1.30831E-2</v>
      </c>
      <c r="G269" s="33">
        <v>1.13229E-2</v>
      </c>
      <c r="H269" s="7">
        <v>0.22717799999999999</v>
      </c>
      <c r="I269" s="7">
        <v>0.22717799999999999</v>
      </c>
      <c r="J269" s="4">
        <f t="shared" si="38"/>
        <v>0.22717799999999999</v>
      </c>
      <c r="K269" s="58">
        <v>100</v>
      </c>
      <c r="L269" s="33">
        <v>1</v>
      </c>
      <c r="M269" s="7">
        <v>16.11556345</v>
      </c>
      <c r="N269" s="33">
        <f t="shared" si="34"/>
        <v>127.50589277798402</v>
      </c>
      <c r="O269">
        <f t="shared" si="39"/>
        <v>0.19814616611999725</v>
      </c>
      <c r="P269">
        <f t="shared" si="40"/>
        <v>0.17148758507998707</v>
      </c>
      <c r="R269" s="33">
        <f>N269+Qy!R300</f>
        <v>227.25832274279441</v>
      </c>
      <c r="AM269" s="79"/>
      <c r="AS269" s="78"/>
    </row>
    <row r="270" spans="1:45" s="33" customFormat="1">
      <c r="A270" s="45"/>
      <c r="B270" s="4">
        <v>3900</v>
      </c>
      <c r="C270" s="33">
        <v>16.3079</v>
      </c>
      <c r="D270" s="33">
        <f>64*0.92*0.146923</f>
        <v>8.6508262400000007</v>
      </c>
      <c r="E270" s="33">
        <f t="shared" si="41"/>
        <v>0.67338141439999999</v>
      </c>
      <c r="F270" s="33">
        <v>1.3077099999999999E-2</v>
      </c>
      <c r="G270" s="33">
        <v>9.7959099999999997E-3</v>
      </c>
      <c r="H270" s="7">
        <v>0.24461849999999999</v>
      </c>
      <c r="I270" s="7">
        <v>0.24461849999999999</v>
      </c>
      <c r="J270" s="4">
        <f t="shared" si="38"/>
        <v>0.24461849999999999</v>
      </c>
      <c r="K270" s="58">
        <v>100</v>
      </c>
      <c r="L270" s="33">
        <v>1</v>
      </c>
      <c r="M270" s="7">
        <v>17.362824589999999</v>
      </c>
      <c r="N270" s="33">
        <f t="shared" si="34"/>
        <v>141.07680923929601</v>
      </c>
      <c r="O270">
        <f t="shared" si="39"/>
        <v>0.21326003909001656</v>
      </c>
      <c r="P270">
        <f t="shared" si="40"/>
        <v>0.15975072068897589</v>
      </c>
      <c r="R270" s="33">
        <f>N270+Qy!R301</f>
        <v>246.53975012130206</v>
      </c>
      <c r="AM270" s="79"/>
      <c r="AS270" s="78"/>
    </row>
    <row r="271" spans="1:45" s="33" customFormat="1">
      <c r="A271" s="45"/>
      <c r="B271" s="4">
        <v>3900</v>
      </c>
      <c r="C271" s="33">
        <v>17.559899999999999</v>
      </c>
      <c r="D271" s="33">
        <f>64*0.92*0.150901</f>
        <v>8.8850508800000014</v>
      </c>
      <c r="E271" s="33">
        <f t="shared" si="41"/>
        <v>0.64974227200000001</v>
      </c>
      <c r="F271" s="33">
        <v>1.30282E-2</v>
      </c>
      <c r="G271" s="33">
        <v>9.0418500000000006E-3</v>
      </c>
      <c r="H271" s="7">
        <v>0.26339849999999998</v>
      </c>
      <c r="I271" s="7">
        <v>0.26339849999999998</v>
      </c>
      <c r="J271" s="4">
        <f t="shared" si="38"/>
        <v>0.26339849999999998</v>
      </c>
      <c r="K271" s="58">
        <v>100</v>
      </c>
      <c r="L271" s="33">
        <v>1</v>
      </c>
      <c r="M271" s="7">
        <v>18.700753599999999</v>
      </c>
      <c r="N271" s="33">
        <f t="shared" si="34"/>
        <v>156.020604947712</v>
      </c>
      <c r="O271">
        <f t="shared" si="39"/>
        <v>0.22877388918001884</v>
      </c>
      <c r="P271">
        <f t="shared" si="40"/>
        <v>0.15877398181496005</v>
      </c>
      <c r="R271" s="33">
        <f>N271+Qy!R302</f>
        <v>267.41803897767403</v>
      </c>
      <c r="AM271" s="79"/>
      <c r="AS271" s="78"/>
    </row>
    <row r="272" spans="1:45" s="33" customFormat="1">
      <c r="A272" s="45"/>
      <c r="B272" s="4">
        <v>3900</v>
      </c>
      <c r="C272" s="33">
        <v>18.908000000000001</v>
      </c>
      <c r="D272" s="33">
        <f>64*0.92*0.15489</f>
        <v>9.1199232000000006</v>
      </c>
      <c r="E272" s="33">
        <f t="shared" si="41"/>
        <v>0.64361727999999996</v>
      </c>
      <c r="F272" s="33">
        <v>1.2928200000000001E-2</v>
      </c>
      <c r="G272" s="33">
        <v>8.9338000000000004E-3</v>
      </c>
      <c r="H272" s="7">
        <v>0.28361999999999998</v>
      </c>
      <c r="I272" s="7">
        <v>0.28361999999999998</v>
      </c>
      <c r="J272" s="4">
        <f t="shared" si="38"/>
        <v>0.28361999999999998</v>
      </c>
      <c r="K272" s="58">
        <v>100</v>
      </c>
      <c r="L272" s="33">
        <v>1</v>
      </c>
      <c r="M272" s="7">
        <v>20.134937109999999</v>
      </c>
      <c r="N272" s="33">
        <f t="shared" si="34"/>
        <v>172.43950786560004</v>
      </c>
      <c r="O272">
        <f t="shared" si="39"/>
        <v>0.2444464055999731</v>
      </c>
      <c r="P272">
        <f t="shared" si="40"/>
        <v>0.16892029039999557</v>
      </c>
      <c r="R272" s="33">
        <f>N272+Qy!R303</f>
        <v>289.99584406341972</v>
      </c>
      <c r="AM272" s="79"/>
      <c r="AS272" s="78"/>
    </row>
    <row r="273" spans="1:45" s="33" customFormat="1">
      <c r="A273" s="45"/>
      <c r="B273" s="4">
        <v>3900</v>
      </c>
      <c r="C273" s="33">
        <v>20.359500000000001</v>
      </c>
      <c r="D273" s="33">
        <f>64*0.92*0.158858</f>
        <v>9.3535590400000004</v>
      </c>
      <c r="E273" s="33">
        <f t="shared" si="41"/>
        <v>0.63428568320000001</v>
      </c>
      <c r="F273" s="33">
        <v>1.27665E-2</v>
      </c>
      <c r="G273" s="33">
        <v>8.7785299999999997E-3</v>
      </c>
      <c r="H273" s="7">
        <v>0.30539250000000001</v>
      </c>
      <c r="I273" s="7">
        <v>0.30539250000000001</v>
      </c>
      <c r="J273" s="4">
        <f t="shared" si="38"/>
        <v>0.30539250000000001</v>
      </c>
      <c r="K273" s="58">
        <v>100</v>
      </c>
      <c r="L273" s="33">
        <v>1</v>
      </c>
      <c r="M273" s="7">
        <v>21.671168909999999</v>
      </c>
      <c r="N273" s="33">
        <f t="shared" si="34"/>
        <v>190.43378527488002</v>
      </c>
      <c r="O273">
        <f t="shared" si="39"/>
        <v>0.2599195567499919</v>
      </c>
      <c r="P273">
        <f t="shared" si="40"/>
        <v>0.17872648153502269</v>
      </c>
      <c r="R273" s="33">
        <f>N273+Qy!R304</f>
        <v>314.37339685054673</v>
      </c>
      <c r="AM273" s="79"/>
      <c r="AS273" s="78"/>
    </row>
    <row r="274" spans="1:45" s="33" customFormat="1">
      <c r="A274" s="45"/>
      <c r="B274" s="4">
        <v>3900</v>
      </c>
      <c r="C274" s="33">
        <v>21.922499999999999</v>
      </c>
      <c r="D274" s="33">
        <f>64*0.92*0.162767</f>
        <v>9.5837209600000008</v>
      </c>
      <c r="E274" s="33">
        <f t="shared" si="41"/>
        <v>0.62130058239999997</v>
      </c>
      <c r="F274" s="33">
        <v>1.25355E-2</v>
      </c>
      <c r="G274" s="33">
        <v>8.56846E-3</v>
      </c>
      <c r="H274" s="7">
        <v>0.3288375</v>
      </c>
      <c r="I274" s="7">
        <v>0.3288375</v>
      </c>
      <c r="J274" s="4">
        <f t="shared" si="38"/>
        <v>0.3288375</v>
      </c>
      <c r="K274" s="58">
        <v>100</v>
      </c>
      <c r="L274" s="33">
        <v>1</v>
      </c>
      <c r="M274" s="7">
        <v>23.315990859999999</v>
      </c>
      <c r="N274" s="33">
        <f t="shared" si="34"/>
        <v>210.0991227456</v>
      </c>
      <c r="O274">
        <f t="shared" si="39"/>
        <v>0.2748094987500167</v>
      </c>
      <c r="P274">
        <f t="shared" si="40"/>
        <v>0.18784206434997941</v>
      </c>
      <c r="R274" s="33">
        <f>N274+Qy!R305</f>
        <v>340.64807536763078</v>
      </c>
      <c r="AM274" s="79"/>
      <c r="AS274" s="78"/>
    </row>
    <row r="275" spans="1:45" s="33" customFormat="1">
      <c r="A275" s="45"/>
      <c r="B275" s="4">
        <v>3900</v>
      </c>
      <c r="C275" s="33">
        <v>23.605499999999999</v>
      </c>
      <c r="D275" s="33">
        <f>64*0.92*0.166579</f>
        <v>9.8081715200000001</v>
      </c>
      <c r="E275" s="33">
        <f t="shared" si="41"/>
        <v>0.6041685631999999</v>
      </c>
      <c r="F275" s="33">
        <v>1.2225099999999999E-2</v>
      </c>
      <c r="G275" s="33">
        <v>8.2969299999999992E-3</v>
      </c>
      <c r="H275" s="7">
        <v>0.35408250000000002</v>
      </c>
      <c r="I275" s="7">
        <v>0.35408250000000002</v>
      </c>
      <c r="J275" s="4">
        <f t="shared" si="38"/>
        <v>0.35408249999999997</v>
      </c>
      <c r="K275" s="58">
        <v>100</v>
      </c>
      <c r="L275" s="33">
        <v>1</v>
      </c>
      <c r="M275" s="7">
        <v>25.075643159999998</v>
      </c>
      <c r="N275" s="33">
        <f t="shared" si="34"/>
        <v>231.52679281535998</v>
      </c>
      <c r="O275">
        <f t="shared" si="39"/>
        <v>0.28857959805000633</v>
      </c>
      <c r="P275">
        <f t="shared" si="40"/>
        <v>0.19585318111498395</v>
      </c>
      <c r="R275" s="33">
        <f>N275+Qy!R306</f>
        <v>368.91026204416846</v>
      </c>
      <c r="AM275" s="79"/>
      <c r="AS275" s="78"/>
    </row>
    <row r="276" spans="1:45" s="33" customFormat="1">
      <c r="A276" s="45"/>
      <c r="B276" s="4">
        <v>3900</v>
      </c>
      <c r="C276" s="33">
        <v>25.4178</v>
      </c>
      <c r="D276" s="33">
        <f>64*0.92*0.170248</f>
        <v>10.024202240000001</v>
      </c>
      <c r="E276" s="33">
        <f t="shared" si="41"/>
        <v>0.5871796224000001</v>
      </c>
      <c r="F276" s="33">
        <v>1.1823200000000001E-2</v>
      </c>
      <c r="G276" s="33">
        <v>8.1217600000000004E-3</v>
      </c>
      <c r="H276" s="7">
        <v>0.38126700000000002</v>
      </c>
      <c r="I276" s="7">
        <v>0.38126700000000002</v>
      </c>
      <c r="J276" s="4">
        <f t="shared" si="38"/>
        <v>0.38126699999999997</v>
      </c>
      <c r="K276" s="58">
        <v>100</v>
      </c>
      <c r="L276" s="33">
        <v>1</v>
      </c>
      <c r="M276" s="7">
        <v>26.956538940000002</v>
      </c>
      <c r="N276" s="33">
        <f t="shared" ref="N276:N322" si="42">C276*D276*L276</f>
        <v>254.79316769587203</v>
      </c>
      <c r="O276">
        <f t="shared" si="39"/>
        <v>0.30051973295999801</v>
      </c>
      <c r="P276">
        <f t="shared" si="40"/>
        <v>0.20643727132801359</v>
      </c>
      <c r="R276" s="33">
        <f>N276+Qy!R307</f>
        <v>399.2350115820629</v>
      </c>
      <c r="AM276" s="79"/>
      <c r="AS276" s="78"/>
    </row>
    <row r="277" spans="1:45" s="33" customFormat="1">
      <c r="A277" s="45"/>
      <c r="B277" s="4">
        <v>3900</v>
      </c>
      <c r="C277" s="33">
        <v>27.3691</v>
      </c>
      <c r="D277" s="33">
        <f>64*0.92*0.173727</f>
        <v>10.22904576</v>
      </c>
      <c r="E277" s="33">
        <f t="shared" si="41"/>
        <v>0.59286272000000007</v>
      </c>
      <c r="F277" s="33">
        <v>1.13778E-2</v>
      </c>
      <c r="G277" s="33">
        <v>8.7601999999999992E-3</v>
      </c>
      <c r="H277" s="7">
        <v>0.41053650000000003</v>
      </c>
      <c r="I277" s="7">
        <v>0.41053650000000003</v>
      </c>
      <c r="J277" s="4">
        <f t="shared" si="38"/>
        <v>0.41053649999999997</v>
      </c>
      <c r="K277" s="58">
        <v>100</v>
      </c>
      <c r="L277" s="33">
        <v>1</v>
      </c>
      <c r="M277" s="7">
        <v>28.963820739999999</v>
      </c>
      <c r="N277" s="33">
        <f t="shared" si="42"/>
        <v>279.95977631001597</v>
      </c>
      <c r="O277">
        <f t="shared" si="39"/>
        <v>0.31140014598003063</v>
      </c>
      <c r="P277">
        <f t="shared" si="40"/>
        <v>0.23975878981997312</v>
      </c>
      <c r="R277" s="33">
        <f>N277+Qy!R308</f>
        <v>431.67704749819535</v>
      </c>
      <c r="AM277" s="79"/>
      <c r="AS277" s="78"/>
    </row>
    <row r="278" spans="1:45" s="33" customFormat="1">
      <c r="A278" s="45"/>
      <c r="B278" s="4">
        <v>3900</v>
      </c>
      <c r="C278" s="33">
        <v>29.470199999999998</v>
      </c>
      <c r="D278" s="33">
        <f>64*0.92*0.17697</f>
        <v>10.4199936</v>
      </c>
      <c r="E278" s="33">
        <f t="shared" si="41"/>
        <v>0.59604165119999997</v>
      </c>
      <c r="F278" s="33">
        <v>1.0919399999999999E-2</v>
      </c>
      <c r="G278" s="33">
        <v>9.3265799999999992E-3</v>
      </c>
      <c r="H278" s="7">
        <v>0.44205299999999997</v>
      </c>
      <c r="I278" s="7">
        <v>0.44205299999999997</v>
      </c>
      <c r="J278" s="4">
        <f t="shared" si="38"/>
        <v>0.44205299999999997</v>
      </c>
      <c r="K278" s="58">
        <v>100</v>
      </c>
      <c r="L278" s="33">
        <v>1</v>
      </c>
      <c r="M278" s="7">
        <v>31.10122956</v>
      </c>
      <c r="N278" s="33">
        <f t="shared" si="42"/>
        <v>307.07929539071995</v>
      </c>
      <c r="O278">
        <f t="shared" si="39"/>
        <v>0.32179690188002041</v>
      </c>
      <c r="P278">
        <f t="shared" si="40"/>
        <v>0.27485617791597861</v>
      </c>
      <c r="R278" s="33">
        <f>N278+Qy!R309</f>
        <v>466.27726780046299</v>
      </c>
      <c r="AM278" s="79"/>
      <c r="AS278" s="78"/>
    </row>
    <row r="279" spans="1:45" s="33" customFormat="1">
      <c r="A279" s="45"/>
      <c r="B279" s="4">
        <v>3900</v>
      </c>
      <c r="C279" s="33">
        <v>31.732700000000001</v>
      </c>
      <c r="D279" s="33">
        <f>64*0.92*0.179929</f>
        <v>10.594219520000001</v>
      </c>
      <c r="E279" s="33">
        <f t="shared" si="41"/>
        <v>0.61379367680000008</v>
      </c>
      <c r="F279" s="33">
        <v>1.10393E-2</v>
      </c>
      <c r="G279" s="33">
        <v>9.8096699999999995E-3</v>
      </c>
      <c r="H279" s="7">
        <v>0.47599049999999998</v>
      </c>
      <c r="I279" s="7">
        <v>0.47599049999999998</v>
      </c>
      <c r="J279" s="4">
        <f t="shared" si="38"/>
        <v>0.47599049999999998</v>
      </c>
      <c r="K279" s="58">
        <v>100</v>
      </c>
      <c r="L279" s="33">
        <v>1</v>
      </c>
      <c r="M279" s="7">
        <v>33.369750590000002</v>
      </c>
      <c r="N279" s="33">
        <f t="shared" si="42"/>
        <v>336.18318976230404</v>
      </c>
      <c r="O279">
        <f t="shared" si="39"/>
        <v>0.35030679511004337</v>
      </c>
      <c r="P279">
        <f t="shared" si="40"/>
        <v>0.3112873152089719</v>
      </c>
      <c r="R279" s="33">
        <f>N279+Qy!R310</f>
        <v>503.04684316462499</v>
      </c>
      <c r="AM279" s="79"/>
      <c r="AS279" s="78"/>
    </row>
    <row r="280" spans="1:45" s="33" customFormat="1">
      <c r="A280" s="45"/>
      <c r="B280" s="4">
        <v>3900</v>
      </c>
      <c r="C280" s="33">
        <v>34.168799999999997</v>
      </c>
      <c r="D280" s="33">
        <f>64*0.92*0.182563</f>
        <v>10.749309440000001</v>
      </c>
      <c r="E280" s="33">
        <f t="shared" si="41"/>
        <v>0.62822016000000003</v>
      </c>
      <c r="F280" s="33">
        <v>1.1139700000000001E-2</v>
      </c>
      <c r="G280" s="33">
        <v>1.01993E-2</v>
      </c>
      <c r="H280" s="7">
        <v>0.51253199999999999</v>
      </c>
      <c r="I280" s="7">
        <v>0.51253199999999999</v>
      </c>
      <c r="J280" s="4">
        <f t="shared" si="38"/>
        <v>0.51253199999999999</v>
      </c>
      <c r="K280" s="58">
        <v>100</v>
      </c>
      <c r="L280" s="33">
        <v>1</v>
      </c>
      <c r="M280" s="7">
        <v>35.773297489999997</v>
      </c>
      <c r="N280" s="33">
        <f t="shared" si="42"/>
        <v>367.29100439347201</v>
      </c>
      <c r="O280">
        <f t="shared" si="39"/>
        <v>0.38063018136000437</v>
      </c>
      <c r="P280">
        <f t="shared" si="40"/>
        <v>0.34849784184001464</v>
      </c>
      <c r="R280" s="33">
        <f>N280+Qy!R311</f>
        <v>541.99635705619664</v>
      </c>
      <c r="AM280" s="79"/>
      <c r="AS280" s="78"/>
    </row>
    <row r="281" spans="1:45" s="33" customFormat="1">
      <c r="A281" s="45"/>
      <c r="B281" s="4">
        <v>3900</v>
      </c>
      <c r="C281" s="33">
        <v>36.791899999999998</v>
      </c>
      <c r="D281" s="33">
        <f>64*0.92*0.184842</f>
        <v>10.88349696</v>
      </c>
      <c r="E281" s="33">
        <f t="shared" si="41"/>
        <v>0.63496192000000007</v>
      </c>
      <c r="F281" s="33">
        <v>1.10788E-2</v>
      </c>
      <c r="G281" s="33">
        <v>1.0489200000000001E-2</v>
      </c>
      <c r="H281" s="7">
        <v>0.55187850000000005</v>
      </c>
      <c r="I281" s="7">
        <v>0.55187850000000005</v>
      </c>
      <c r="J281" s="4">
        <f t="shared" si="38"/>
        <v>0.55187849999999994</v>
      </c>
      <c r="K281" s="58">
        <v>100</v>
      </c>
      <c r="L281" s="33">
        <v>1</v>
      </c>
      <c r="M281" s="7">
        <v>38.320941449999999</v>
      </c>
      <c r="N281" s="33">
        <f t="shared" si="42"/>
        <v>400.42453180262402</v>
      </c>
      <c r="O281">
        <f t="shared" si="39"/>
        <v>0.40761010171996759</v>
      </c>
      <c r="P281">
        <f t="shared" si="40"/>
        <v>0.38591759748004506</v>
      </c>
      <c r="R281" s="33">
        <f>N281+Qy!R312</f>
        <v>583.15516381352927</v>
      </c>
      <c r="AM281" s="79"/>
      <c r="AS281" s="78"/>
    </row>
    <row r="282" spans="1:45" s="33" customFormat="1">
      <c r="A282" s="45"/>
      <c r="B282" s="4">
        <v>3900</v>
      </c>
      <c r="C282" s="33">
        <v>39.616500000000002</v>
      </c>
      <c r="D282" s="33">
        <f>64*0.92*0.186751</f>
        <v>10.99589888</v>
      </c>
      <c r="E282" s="33">
        <f t="shared" si="41"/>
        <v>0.63390208000000015</v>
      </c>
      <c r="F282" s="33">
        <v>1.0854900000000001E-2</v>
      </c>
      <c r="G282" s="33">
        <v>1.06771E-2</v>
      </c>
      <c r="H282" s="7">
        <v>0.59424750000000004</v>
      </c>
      <c r="I282" s="7">
        <v>0.59424750000000004</v>
      </c>
      <c r="J282" s="4">
        <f t="shared" si="38"/>
        <v>0.59424750000000004</v>
      </c>
      <c r="K282" s="58">
        <v>100</v>
      </c>
      <c r="L282" s="33">
        <v>1</v>
      </c>
      <c r="M282" s="7">
        <v>41.02477794</v>
      </c>
      <c r="N282" s="33">
        <f t="shared" si="42"/>
        <v>435.61902797952001</v>
      </c>
      <c r="O282">
        <f t="shared" si="39"/>
        <v>0.43003314585001817</v>
      </c>
      <c r="P282">
        <f t="shared" si="40"/>
        <v>0.42298933214999579</v>
      </c>
      <c r="R282" s="33">
        <f>N282+Qy!R313</f>
        <v>626.57349634027139</v>
      </c>
      <c r="AM282" s="79"/>
      <c r="AS282" s="78"/>
    </row>
    <row r="283" spans="1:45" s="33" customFormat="1">
      <c r="A283" s="45"/>
      <c r="B283" s="4">
        <v>3900</v>
      </c>
      <c r="C283" s="33">
        <v>42.657800000000002</v>
      </c>
      <c r="D283" s="33">
        <f>64*0.92*0.188302</f>
        <v>11.08722176</v>
      </c>
      <c r="E283" s="33">
        <f t="shared" si="41"/>
        <v>0.62542335999999998</v>
      </c>
      <c r="F283" s="33">
        <v>1.04752E-2</v>
      </c>
      <c r="G283" s="33">
        <v>1.07688E-2</v>
      </c>
      <c r="H283" s="7">
        <v>0.63986699999999996</v>
      </c>
      <c r="I283" s="7">
        <v>0.63986699999999996</v>
      </c>
      <c r="J283" s="4">
        <f t="shared" si="38"/>
        <v>0.63986699999999996</v>
      </c>
      <c r="K283" s="58">
        <v>100</v>
      </c>
      <c r="L283" s="33">
        <v>1</v>
      </c>
      <c r="M283" s="7">
        <v>43.900357499999998</v>
      </c>
      <c r="N283" s="33">
        <f t="shared" si="42"/>
        <v>472.95648839372802</v>
      </c>
      <c r="O283">
        <f t="shared" si="39"/>
        <v>0.44684898655998495</v>
      </c>
      <c r="P283">
        <f t="shared" si="40"/>
        <v>0.45937331663998293</v>
      </c>
      <c r="R283" s="33">
        <f>N283+Qy!R314</f>
        <v>672.35563656611021</v>
      </c>
      <c r="AM283" s="79"/>
      <c r="AS283" s="78"/>
    </row>
    <row r="284" spans="1:45" s="33" customFormat="1">
      <c r="A284" s="45"/>
      <c r="B284" s="4">
        <v>3900</v>
      </c>
      <c r="C284" s="33">
        <v>45.932699999999997</v>
      </c>
      <c r="D284" s="33">
        <f>64*0.92*0.189545</f>
        <v>11.160409599999999</v>
      </c>
      <c r="E284" s="33">
        <f t="shared" si="41"/>
        <v>0.6105858944</v>
      </c>
      <c r="F284" s="33">
        <v>9.96061E-3</v>
      </c>
      <c r="G284" s="33">
        <v>1.07794E-2</v>
      </c>
      <c r="H284" s="7">
        <v>0.68899049999999995</v>
      </c>
      <c r="I284" s="7">
        <v>0.68899049999999995</v>
      </c>
      <c r="J284" s="4">
        <f t="shared" si="38"/>
        <v>0.68899049999999995</v>
      </c>
      <c r="K284" s="58">
        <v>100</v>
      </c>
      <c r="L284" s="33">
        <v>1</v>
      </c>
      <c r="M284" s="7">
        <v>46.969349180000002</v>
      </c>
      <c r="N284" s="33">
        <f t="shared" si="42"/>
        <v>512.62774603391995</v>
      </c>
      <c r="O284">
        <f t="shared" si="39"/>
        <v>0.45751771094705873</v>
      </c>
      <c r="P284">
        <f t="shared" si="40"/>
        <v>0.4951269463800827</v>
      </c>
      <c r="R284" s="33">
        <f>N284+Qy!R315</f>
        <v>720.72801230386517</v>
      </c>
      <c r="AM284" s="79"/>
      <c r="AS284" s="78"/>
    </row>
    <row r="285" spans="1:45" s="33" customFormat="1">
      <c r="A285" s="45"/>
      <c r="B285" s="4">
        <v>3900</v>
      </c>
      <c r="C285" s="33">
        <v>49.459000000000003</v>
      </c>
      <c r="D285" s="33">
        <f>64*0.92*0.190589</f>
        <v>11.22188032</v>
      </c>
      <c r="E285" s="33">
        <f t="shared" si="41"/>
        <v>0.62698368000000004</v>
      </c>
      <c r="F285" s="33">
        <v>1.0555500000000001E-2</v>
      </c>
      <c r="G285" s="33">
        <v>1.0741499999999999E-2</v>
      </c>
      <c r="H285" s="7">
        <v>0.74188500000000002</v>
      </c>
      <c r="I285" s="7">
        <v>0.74188500000000002</v>
      </c>
      <c r="J285" s="4">
        <f t="shared" si="38"/>
        <v>0.74188500000000002</v>
      </c>
      <c r="K285" s="58">
        <v>100</v>
      </c>
      <c r="L285" s="33">
        <v>1</v>
      </c>
      <c r="M285" s="7">
        <v>50.25820659</v>
      </c>
      <c r="N285" s="33">
        <f t="shared" si="42"/>
        <v>555.02297874688009</v>
      </c>
      <c r="O285">
        <f t="shared" si="39"/>
        <v>0.5220644744999845</v>
      </c>
      <c r="P285">
        <f t="shared" si="40"/>
        <v>0.53126384849997521</v>
      </c>
      <c r="R285" s="33">
        <f>N285+Qy!R316</f>
        <v>772.12354611899946</v>
      </c>
      <c r="AM285" s="79"/>
      <c r="AS285" s="78"/>
    </row>
    <row r="286" spans="1:45" s="33" customFormat="1">
      <c r="A286" s="45"/>
      <c r="B286" s="4">
        <v>3900</v>
      </c>
      <c r="C286" s="33">
        <v>53.255899999999997</v>
      </c>
      <c r="D286" s="33">
        <f>64*0.92*0.191587</f>
        <v>11.28064256</v>
      </c>
      <c r="E286" s="33">
        <f t="shared" si="41"/>
        <v>0.67903360000000001</v>
      </c>
      <c r="F286" s="33">
        <v>1.1480499999999999E-2</v>
      </c>
      <c r="G286" s="33">
        <v>1.1584499999999999E-2</v>
      </c>
      <c r="H286" s="7">
        <v>0.79883850000000001</v>
      </c>
      <c r="I286" s="7">
        <v>0.79883850000000001</v>
      </c>
      <c r="J286" s="4">
        <f t="shared" si="38"/>
        <v>0.7988384999999999</v>
      </c>
      <c r="K286" s="58">
        <v>100</v>
      </c>
      <c r="L286" s="33">
        <v>1</v>
      </c>
      <c r="M286" s="7">
        <v>53.798961259999999</v>
      </c>
      <c r="N286" s="33">
        <f t="shared" si="42"/>
        <v>600.76077211110396</v>
      </c>
      <c r="O286">
        <f t="shared" si="39"/>
        <v>0.61140435995002917</v>
      </c>
      <c r="P286">
        <f t="shared" si="40"/>
        <v>0.61694297354995342</v>
      </c>
      <c r="R286" s="33">
        <f>N286+Qy!R317</f>
        <v>827.2110594714145</v>
      </c>
      <c r="AM286" s="79"/>
      <c r="AS286" s="78"/>
    </row>
    <row r="287" spans="1:45" s="33" customFormat="1">
      <c r="A287" s="45"/>
      <c r="B287" s="4">
        <v>3900</v>
      </c>
      <c r="C287" s="33">
        <v>57.3444</v>
      </c>
      <c r="D287" s="33">
        <f>64*0.92*0.192591</f>
        <v>11.339758080000001</v>
      </c>
      <c r="E287" s="33">
        <f t="shared" si="41"/>
        <v>0.73299712000000006</v>
      </c>
      <c r="F287" s="33">
        <v>1.23605E-2</v>
      </c>
      <c r="G287" s="33">
        <v>1.25375E-2</v>
      </c>
      <c r="H287" s="7">
        <v>0.86016599999999999</v>
      </c>
      <c r="I287" s="7">
        <v>0.86016599999999999</v>
      </c>
      <c r="J287" s="4">
        <f t="shared" si="38"/>
        <v>0.86016599999999999</v>
      </c>
      <c r="K287" s="58">
        <v>100</v>
      </c>
      <c r="L287" s="33">
        <v>1</v>
      </c>
      <c r="M287" s="7">
        <v>57.627983999999998</v>
      </c>
      <c r="N287" s="33">
        <f t="shared" si="42"/>
        <v>650.27162324275207</v>
      </c>
      <c r="O287">
        <f t="shared" si="39"/>
        <v>0.70880545620002522</v>
      </c>
      <c r="P287">
        <f t="shared" si="40"/>
        <v>0.71895541499998217</v>
      </c>
      <c r="R287" s="33">
        <f>N287+Qy!R318</f>
        <v>886.47373288935057</v>
      </c>
      <c r="AM287" s="79"/>
      <c r="AS287" s="78"/>
    </row>
    <row r="288" spans="1:45" s="33" customFormat="1">
      <c r="A288" s="45"/>
      <c r="B288" s="4">
        <v>3900</v>
      </c>
      <c r="C288" s="33">
        <v>61.7468</v>
      </c>
      <c r="D288" s="33">
        <f>64*0.92*0.193589</f>
        <v>11.398520320000001</v>
      </c>
      <c r="E288" s="33">
        <f t="shared" si="41"/>
        <v>0.78325120000000004</v>
      </c>
      <c r="F288" s="33">
        <v>1.3176E-2</v>
      </c>
      <c r="G288" s="33">
        <v>1.3429E-2</v>
      </c>
      <c r="H288" s="7">
        <v>0.92620199999999997</v>
      </c>
      <c r="I288" s="7">
        <v>0.92620199999999997</v>
      </c>
      <c r="J288" s="4">
        <f t="shared" si="38"/>
        <v>0.92620199999999997</v>
      </c>
      <c r="K288" s="58">
        <v>100</v>
      </c>
      <c r="L288" s="33">
        <v>1</v>
      </c>
      <c r="M288" s="7">
        <v>61.780598070000003</v>
      </c>
      <c r="N288" s="33">
        <f t="shared" si="42"/>
        <v>703.82215449497608</v>
      </c>
      <c r="O288">
        <f t="shared" si="39"/>
        <v>0.8135758367999415</v>
      </c>
      <c r="P288">
        <f t="shared" si="40"/>
        <v>0.82919777720007914</v>
      </c>
      <c r="R288" s="33">
        <f>N288+Qy!R319</f>
        <v>950.21909988168443</v>
      </c>
      <c r="AM288" s="79"/>
      <c r="AS288" s="78"/>
    </row>
    <row r="289" spans="1:298" s="33" customFormat="1">
      <c r="A289" s="45"/>
      <c r="B289" s="4">
        <v>3900</v>
      </c>
      <c r="C289" s="33">
        <v>66.487099999999998</v>
      </c>
      <c r="D289" s="33">
        <f>64*0.92*0.194572</f>
        <v>11.456399360000001</v>
      </c>
      <c r="E289" s="33">
        <f t="shared" si="41"/>
        <v>0.87157119999999999</v>
      </c>
      <c r="F289" s="33">
        <v>1.40465E-2</v>
      </c>
      <c r="G289" s="33">
        <v>1.5558499999999999E-2</v>
      </c>
      <c r="H289" s="7">
        <v>0.99730649999999998</v>
      </c>
      <c r="I289" s="7">
        <v>0.99730649999999998</v>
      </c>
      <c r="J289" s="4">
        <f t="shared" si="38"/>
        <v>0.99730649999999998</v>
      </c>
      <c r="K289" s="58">
        <v>100</v>
      </c>
      <c r="L289" s="33">
        <v>1</v>
      </c>
      <c r="M289" s="7">
        <v>66.282264249999997</v>
      </c>
      <c r="N289" s="33">
        <f t="shared" si="42"/>
        <v>761.70276988825606</v>
      </c>
      <c r="O289">
        <f t="shared" si="39"/>
        <v>0.93391105014995901</v>
      </c>
      <c r="P289">
        <f t="shared" si="40"/>
        <v>1.0344395453499828</v>
      </c>
      <c r="R289" s="33">
        <f>N289+Qy!R320</f>
        <v>1018.747508982239</v>
      </c>
      <c r="AM289" s="79"/>
      <c r="AS289" s="78"/>
    </row>
    <row r="290" spans="1:298" s="33" customFormat="1">
      <c r="A290" s="45"/>
      <c r="B290" s="4">
        <v>3900</v>
      </c>
      <c r="C290" s="33">
        <v>71.591300000000004</v>
      </c>
      <c r="D290" s="33">
        <f>64*0.92*0.195529</f>
        <v>11.512747520000001</v>
      </c>
      <c r="E290" s="33">
        <f t="shared" si="41"/>
        <v>0.96586751999999998</v>
      </c>
      <c r="F290" s="33">
        <v>1.50312E-2</v>
      </c>
      <c r="G290" s="33">
        <v>1.7776799999999999E-2</v>
      </c>
      <c r="H290" s="7">
        <v>1.0738695</v>
      </c>
      <c r="I290" s="7">
        <v>1.0738695</v>
      </c>
      <c r="J290" s="4">
        <f t="shared" si="38"/>
        <v>1.0738695</v>
      </c>
      <c r="K290" s="58">
        <v>100</v>
      </c>
      <c r="L290" s="33">
        <v>1</v>
      </c>
      <c r="M290" s="7">
        <v>71.128968099999994</v>
      </c>
      <c r="N290" s="33">
        <f t="shared" si="42"/>
        <v>824.21256152857609</v>
      </c>
      <c r="O290">
        <f t="shared" si="39"/>
        <v>1.076103148560037</v>
      </c>
      <c r="P290">
        <f t="shared" si="40"/>
        <v>1.272664221839932</v>
      </c>
      <c r="R290" s="33">
        <f>N290+Qy!R321</f>
        <v>1092.2982368807586</v>
      </c>
      <c r="AM290" s="79"/>
      <c r="AS290" s="78"/>
    </row>
    <row r="291" spans="1:298" s="33" customFormat="1">
      <c r="A291" s="45"/>
      <c r="B291" s="4">
        <v>3900</v>
      </c>
      <c r="C291" s="33">
        <v>77.087400000000002</v>
      </c>
      <c r="D291" s="33">
        <f>64*0.92*0.196444</f>
        <v>11.566622720000002</v>
      </c>
      <c r="E291" s="33">
        <f t="shared" si="41"/>
        <v>1.05074304</v>
      </c>
      <c r="F291" s="33">
        <v>1.5848000000000001E-2</v>
      </c>
      <c r="G291" s="33">
        <v>1.9843E-2</v>
      </c>
      <c r="H291" s="7">
        <v>1.1563110000000001</v>
      </c>
      <c r="I291" s="7">
        <v>1.1563110000000001</v>
      </c>
      <c r="J291" s="4">
        <f t="shared" si="38"/>
        <v>1.1563110000000001</v>
      </c>
      <c r="K291" s="58">
        <v>100</v>
      </c>
      <c r="L291" s="33">
        <v>1</v>
      </c>
      <c r="M291" s="7">
        <v>76.259823429999997</v>
      </c>
      <c r="N291" s="33">
        <f t="shared" si="42"/>
        <v>891.64087226572815</v>
      </c>
      <c r="O291">
        <f t="shared" si="39"/>
        <v>1.2216811151999991</v>
      </c>
      <c r="P291">
        <f t="shared" si="40"/>
        <v>1.5296452781999506</v>
      </c>
      <c r="R291" s="33">
        <f>N291+Qy!R322</f>
        <v>1170.9848503565431</v>
      </c>
      <c r="AM291" s="79"/>
      <c r="AS291" s="78"/>
    </row>
    <row r="292" spans="1:298" s="33" customFormat="1">
      <c r="A292" s="45"/>
      <c r="B292" s="4">
        <v>3900</v>
      </c>
      <c r="C292" s="33">
        <v>83.005399999999995</v>
      </c>
      <c r="D292" s="33">
        <f>64*0.92*0.197303</f>
        <v>11.61720064</v>
      </c>
      <c r="E292" s="33">
        <f t="shared" si="41"/>
        <v>1.12363648</v>
      </c>
      <c r="F292" s="33">
        <v>1.6455399999999999E-2</v>
      </c>
      <c r="G292" s="33">
        <v>2.1711600000000001E-2</v>
      </c>
      <c r="H292" s="7">
        <v>1.2450810000000001</v>
      </c>
      <c r="I292" s="7">
        <v>1.2450810000000001</v>
      </c>
      <c r="J292" s="4">
        <f t="shared" si="38"/>
        <v>1.2450809999999999</v>
      </c>
      <c r="K292" s="58">
        <v>100</v>
      </c>
      <c r="L292" s="33">
        <v>1</v>
      </c>
      <c r="M292" s="7">
        <v>81.598405920000005</v>
      </c>
      <c r="N292" s="33">
        <f t="shared" si="42"/>
        <v>964.29038600345598</v>
      </c>
      <c r="O292">
        <f t="shared" si="39"/>
        <v>1.3658870591599452</v>
      </c>
      <c r="P292">
        <f t="shared" si="40"/>
        <v>1.802180042639975</v>
      </c>
      <c r="R292" s="33">
        <f>N292+Qy!R323</f>
        <v>1254.9258731682198</v>
      </c>
      <c r="AM292" s="79"/>
      <c r="AS292" s="78"/>
    </row>
    <row r="293" spans="1:298" s="33" customFormat="1">
      <c r="A293" s="45"/>
      <c r="B293" s="4">
        <v>3900</v>
      </c>
      <c r="C293" s="33">
        <v>89.377799999999993</v>
      </c>
      <c r="D293" s="33">
        <f>64*0.92*0.198087</f>
        <v>11.663362560000001</v>
      </c>
      <c r="E293" s="33">
        <f t="shared" si="41"/>
        <v>1.1817216000000001</v>
      </c>
      <c r="F293" s="33">
        <v>1.6810100000000001E-2</v>
      </c>
      <c r="G293" s="33">
        <v>2.3329900000000001E-2</v>
      </c>
      <c r="H293" s="7">
        <v>1.3406670000000001</v>
      </c>
      <c r="I293" s="7">
        <v>1.3406670000000001</v>
      </c>
      <c r="J293" s="4">
        <f t="shared" si="38"/>
        <v>1.3406669999999998</v>
      </c>
      <c r="K293" s="58">
        <v>100</v>
      </c>
      <c r="L293" s="33">
        <v>1</v>
      </c>
      <c r="M293" s="7">
        <v>87.139262439999996</v>
      </c>
      <c r="N293" s="33">
        <f t="shared" si="42"/>
        <v>1042.4456862151681</v>
      </c>
      <c r="O293">
        <f t="shared" si="39"/>
        <v>1.502449755779935</v>
      </c>
      <c r="P293">
        <f t="shared" si="40"/>
        <v>2.0851751362199593</v>
      </c>
      <c r="R293" s="33">
        <f>N293+Qy!R324</f>
        <v>1344.3893698380143</v>
      </c>
      <c r="AM293" s="79"/>
      <c r="AS293" s="78"/>
    </row>
    <row r="294" spans="1:298" s="33" customFormat="1">
      <c r="A294" s="45"/>
      <c r="B294" s="4">
        <v>3900</v>
      </c>
      <c r="C294" s="33">
        <v>96.239400000000003</v>
      </c>
      <c r="D294" s="33">
        <f>64*0.92*0.198778</f>
        <v>11.704048640000002</v>
      </c>
      <c r="E294" s="33">
        <f t="shared" si="41"/>
        <v>1.2272064</v>
      </c>
      <c r="F294" s="33">
        <v>1.6897200000000001E-2</v>
      </c>
      <c r="G294" s="33">
        <v>2.4787799999999999E-2</v>
      </c>
      <c r="H294" s="7">
        <v>1.4435910000000001</v>
      </c>
      <c r="I294" s="7">
        <v>1.4435910000000001</v>
      </c>
      <c r="J294" s="4">
        <f t="shared" si="38"/>
        <v>1.4435910000000001</v>
      </c>
      <c r="K294" s="58">
        <v>100</v>
      </c>
      <c r="L294" s="33">
        <v>1</v>
      </c>
      <c r="M294" s="7">
        <v>92.894018130000006</v>
      </c>
      <c r="N294" s="33">
        <f t="shared" si="42"/>
        <v>1126.3906186844163</v>
      </c>
      <c r="O294">
        <f t="shared" si="39"/>
        <v>1.6261763896800403</v>
      </c>
      <c r="P294">
        <f t="shared" si="40"/>
        <v>2.3855629993202001</v>
      </c>
      <c r="R294" s="33">
        <f>N294+Qy!R325</f>
        <v>1439.6781437614068</v>
      </c>
      <c r="AM294" s="79"/>
      <c r="AS294" s="78"/>
    </row>
    <row r="295" spans="1:298" s="33" customFormat="1">
      <c r="A295" s="45"/>
      <c r="B295" s="4">
        <v>3900</v>
      </c>
      <c r="C295" s="33">
        <v>103.628</v>
      </c>
      <c r="D295" s="33">
        <f>64*0.92*0.199355</f>
        <v>11.7380224</v>
      </c>
      <c r="E295" s="33">
        <f t="shared" si="41"/>
        <v>1.27743104</v>
      </c>
      <c r="F295" s="33">
        <v>1.7390200000000001E-2</v>
      </c>
      <c r="G295" s="33">
        <v>2.6000800000000001E-2</v>
      </c>
      <c r="H295" s="7">
        <v>1.5544199999999999</v>
      </c>
      <c r="I295" s="7">
        <v>1.5544199999999999</v>
      </c>
      <c r="J295" s="4">
        <f t="shared" si="38"/>
        <v>1.5544199999999999</v>
      </c>
      <c r="K295" s="58">
        <v>100</v>
      </c>
      <c r="L295" s="33">
        <v>1</v>
      </c>
      <c r="M295" s="7">
        <v>98.892412469999996</v>
      </c>
      <c r="N295" s="33">
        <f t="shared" si="42"/>
        <v>1216.3877852672001</v>
      </c>
      <c r="O295">
        <f t="shared" si="39"/>
        <v>1.8021116455997799</v>
      </c>
      <c r="P295">
        <f t="shared" si="40"/>
        <v>2.6944109024000227</v>
      </c>
      <c r="R295" s="33">
        <f>N295+Qy!R326</f>
        <v>1541.1053726978689</v>
      </c>
      <c r="AM295" s="79"/>
      <c r="AS295" s="78"/>
    </row>
    <row r="296" spans="1:298" s="33" customFormat="1">
      <c r="A296" s="45"/>
      <c r="B296" s="4">
        <v>3900</v>
      </c>
      <c r="C296" s="33">
        <v>111.583</v>
      </c>
      <c r="D296" s="33">
        <f>64*0.92*0.199796</f>
        <v>11.76398848</v>
      </c>
      <c r="E296" s="33">
        <f t="shared" si="41"/>
        <v>1.3129945600000001</v>
      </c>
      <c r="F296" s="33">
        <v>1.7735799999999999E-2</v>
      </c>
      <c r="G296" s="33">
        <v>2.68632E-2</v>
      </c>
      <c r="H296" s="7">
        <v>1.673745</v>
      </c>
      <c r="I296" s="7">
        <v>1.673745</v>
      </c>
      <c r="J296" s="4">
        <f t="shared" si="38"/>
        <v>1.6737449999999998</v>
      </c>
      <c r="K296" s="58">
        <v>100</v>
      </c>
      <c r="L296" s="33">
        <v>1</v>
      </c>
      <c r="M296" s="7">
        <v>105.18759180000001</v>
      </c>
      <c r="N296" s="33">
        <f t="shared" si="42"/>
        <v>1312.6611265638401</v>
      </c>
      <c r="O296">
        <f t="shared" si="39"/>
        <v>1.9790137713998774</v>
      </c>
      <c r="P296">
        <f t="shared" si="40"/>
        <v>2.9974764456001139</v>
      </c>
      <c r="R296" s="33">
        <f>N296+Qy!R327</f>
        <v>1648.9816169533024</v>
      </c>
      <c r="AM296" s="79"/>
      <c r="AS296" s="78"/>
    </row>
    <row r="297" spans="1:298" s="33" customFormat="1">
      <c r="A297" s="45"/>
      <c r="B297" s="4">
        <v>3900</v>
      </c>
      <c r="C297" s="33">
        <v>120.15</v>
      </c>
      <c r="D297" s="33">
        <f>64*0.92*0.20008</f>
        <v>11.7807104</v>
      </c>
      <c r="E297" s="33">
        <f t="shared" si="41"/>
        <v>1.3316889599999999</v>
      </c>
      <c r="F297" s="33">
        <v>1.7912600000000001E-2</v>
      </c>
      <c r="G297" s="33">
        <v>2.7321399999999999E-2</v>
      </c>
      <c r="H297" s="7">
        <v>1.8022499999999999</v>
      </c>
      <c r="I297" s="7">
        <v>1.8022499999999999</v>
      </c>
      <c r="J297" s="4">
        <f t="shared" si="38"/>
        <v>1.8022499999999999</v>
      </c>
      <c r="K297" s="58">
        <v>100</v>
      </c>
      <c r="L297" s="33">
        <v>1</v>
      </c>
      <c r="M297" s="7">
        <v>111.8705045</v>
      </c>
      <c r="N297" s="33">
        <f t="shared" si="42"/>
        <v>1415.45235456</v>
      </c>
      <c r="O297">
        <f t="shared" si="39"/>
        <v>2.1521988900001361</v>
      </c>
      <c r="P297">
        <f t="shared" si="40"/>
        <v>3.2826662099998885</v>
      </c>
      <c r="R297" s="33">
        <f>N297+Qy!R328</f>
        <v>1763.6904883228071</v>
      </c>
      <c r="AM297" s="79"/>
      <c r="AS297" s="78"/>
    </row>
    <row r="298" spans="1:298" s="33" customFormat="1">
      <c r="A298" s="45"/>
      <c r="B298" s="4">
        <v>3900</v>
      </c>
      <c r="C298" s="33">
        <v>129.37299999999999</v>
      </c>
      <c r="D298" s="33">
        <f>64*0.92*0.200186</f>
        <v>11.786951680000001</v>
      </c>
      <c r="E298" s="33">
        <f t="shared" si="41"/>
        <v>1.3312767999999999</v>
      </c>
      <c r="F298" s="33">
        <v>1.7897699999999999E-2</v>
      </c>
      <c r="G298" s="33">
        <v>2.7322300000000001E-2</v>
      </c>
      <c r="H298" s="7">
        <v>1.9405950000000001</v>
      </c>
      <c r="I298" s="7">
        <v>1.9405950000000001</v>
      </c>
      <c r="J298" s="4">
        <f t="shared" si="38"/>
        <v>1.9405949999999998</v>
      </c>
      <c r="K298" s="58">
        <v>100</v>
      </c>
      <c r="L298" s="33">
        <v>1</v>
      </c>
      <c r="M298" s="7">
        <v>119.0707566</v>
      </c>
      <c r="N298" s="33">
        <f t="shared" si="42"/>
        <v>1524.91329969664</v>
      </c>
      <c r="O298">
        <f t="shared" si="39"/>
        <v>2.3154791421002301</v>
      </c>
      <c r="P298">
        <f t="shared" si="40"/>
        <v>3.5347679178998987</v>
      </c>
      <c r="R298" s="33">
        <f>N298+Qy!R329</f>
        <v>1885.5728709253142</v>
      </c>
      <c r="AM298" s="79"/>
      <c r="AS298" s="78"/>
    </row>
    <row r="299" spans="1:298" s="33" customFormat="1">
      <c r="A299" s="45"/>
      <c r="B299" s="4">
        <v>3900</v>
      </c>
      <c r="C299" s="33">
        <v>139.30500000000001</v>
      </c>
      <c r="D299" s="33">
        <f>64*0.92*0.200095</f>
        <v>11.781593600000001</v>
      </c>
      <c r="E299" s="33">
        <f t="shared" si="41"/>
        <v>1.3344563200000001</v>
      </c>
      <c r="F299" s="33">
        <v>1.85098E-2</v>
      </c>
      <c r="G299" s="33">
        <v>2.68182E-2</v>
      </c>
      <c r="H299" s="7">
        <v>2.089575</v>
      </c>
      <c r="I299" s="7">
        <v>2.089575</v>
      </c>
      <c r="J299" s="4">
        <f t="shared" si="38"/>
        <v>2.089575</v>
      </c>
      <c r="K299" s="58">
        <v>100</v>
      </c>
      <c r="L299" s="33">
        <v>1</v>
      </c>
      <c r="M299" s="7">
        <v>126.9823896</v>
      </c>
      <c r="N299" s="33">
        <f t="shared" si="42"/>
        <v>1641.2348964480002</v>
      </c>
      <c r="O299">
        <f t="shared" si="39"/>
        <v>2.5785076889999345</v>
      </c>
      <c r="P299">
        <f t="shared" si="40"/>
        <v>3.7359093509999184</v>
      </c>
      <c r="R299" s="33">
        <f>N299+Qy!R330</f>
        <v>2015.0887526141755</v>
      </c>
      <c r="AM299" s="79"/>
      <c r="AS299" s="78"/>
    </row>
    <row r="300" spans="1:298" s="33" customFormat="1">
      <c r="A300" s="45"/>
      <c r="B300" s="4">
        <v>3900</v>
      </c>
      <c r="C300" s="33">
        <v>150</v>
      </c>
      <c r="D300" s="33">
        <f>64*0.92*0.199793</f>
        <v>11.763811840000001</v>
      </c>
      <c r="E300" s="33">
        <f t="shared" si="41"/>
        <v>1.3624037119999999</v>
      </c>
      <c r="F300" s="33">
        <v>1.8812099999999998E-2</v>
      </c>
      <c r="G300" s="33">
        <v>2.7465199999999999E-2</v>
      </c>
      <c r="H300" s="7">
        <v>2.25</v>
      </c>
      <c r="I300" s="7">
        <v>2.25</v>
      </c>
      <c r="J300" s="4">
        <f t="shared" si="38"/>
        <v>2.25</v>
      </c>
      <c r="K300" s="58">
        <v>100</v>
      </c>
      <c r="L300" s="33">
        <v>1</v>
      </c>
      <c r="M300" s="7">
        <v>135.86549260000001</v>
      </c>
      <c r="N300" s="33">
        <f t="shared" si="42"/>
        <v>1764.571776</v>
      </c>
      <c r="O300">
        <f t="shared" si="39"/>
        <v>2.8218150000000151</v>
      </c>
      <c r="P300">
        <f t="shared" si="40"/>
        <v>4.1197799999999916</v>
      </c>
      <c r="R300" s="33">
        <f>N300+Qy!R331</f>
        <v>2152.7273763000285</v>
      </c>
      <c r="AM300" s="79"/>
      <c r="AS300" s="78"/>
    </row>
    <row r="301" spans="1:298" s="53" customFormat="1">
      <c r="A301" s="54" t="s">
        <v>10</v>
      </c>
      <c r="B301" s="51">
        <v>4000</v>
      </c>
      <c r="C301" s="53">
        <v>6.4</v>
      </c>
      <c r="D301" s="53">
        <f>1.38*0.094*64</f>
        <v>8.3020800000000001</v>
      </c>
      <c r="E301" s="53">
        <f>SQRT((0.52/1.38*D301)^2+(0.5*(F301+G301))^2)</f>
        <v>3.8827155531974489</v>
      </c>
      <c r="F301" s="53">
        <v>2.2699709249</v>
      </c>
      <c r="G301" s="53">
        <v>2.3296351646</v>
      </c>
      <c r="H301" s="76">
        <v>1.1000000000000001</v>
      </c>
      <c r="I301" s="76">
        <v>1.1000000000000001</v>
      </c>
      <c r="J301" s="53">
        <v>1.1000000000000001</v>
      </c>
      <c r="K301" s="56">
        <v>0</v>
      </c>
      <c r="L301" s="53">
        <v>1</v>
      </c>
      <c r="M301" s="53">
        <f t="shared" ref="M301:M322" si="43">C301</f>
        <v>6.4</v>
      </c>
      <c r="N301" s="53">
        <f t="shared" si="42"/>
        <v>53.133312000000004</v>
      </c>
      <c r="O301">
        <f t="shared" si="39"/>
        <v>14.52781391936</v>
      </c>
      <c r="P301">
        <f t="shared" si="40"/>
        <v>14.909665053440001</v>
      </c>
      <c r="R301" s="33">
        <f>N301+Qy!R332</f>
        <v>96.407938243632003</v>
      </c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79"/>
      <c r="AN301" s="33"/>
      <c r="AO301" s="33"/>
      <c r="AP301" s="33"/>
      <c r="AQ301" s="33"/>
      <c r="AR301" s="33"/>
      <c r="AS301" s="78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  <c r="GE301" s="33"/>
      <c r="GF301" s="33"/>
      <c r="GG301" s="33"/>
      <c r="GH301" s="33"/>
      <c r="GI301" s="33"/>
      <c r="GJ301" s="33"/>
      <c r="GK301" s="33"/>
      <c r="GL301" s="33"/>
      <c r="GM301" s="33"/>
      <c r="GN301" s="33"/>
      <c r="GO301" s="33"/>
      <c r="GP301" s="33"/>
      <c r="GQ301" s="33"/>
      <c r="GR301" s="33"/>
      <c r="GS301" s="33"/>
      <c r="GT301" s="33"/>
      <c r="GU301" s="33"/>
      <c r="GV301" s="33"/>
      <c r="GW301" s="33"/>
      <c r="GX301" s="33"/>
      <c r="GY301" s="33"/>
      <c r="GZ301" s="33"/>
      <c r="HA301" s="33"/>
      <c r="HB301" s="33"/>
      <c r="HC301" s="33"/>
      <c r="HD301" s="33"/>
      <c r="HE301" s="33"/>
      <c r="HF301" s="33"/>
      <c r="HG301" s="33"/>
      <c r="HH301" s="33"/>
      <c r="HI301" s="33"/>
      <c r="HJ301" s="33"/>
      <c r="HK301" s="33"/>
      <c r="HL301" s="33"/>
      <c r="HM301" s="33"/>
      <c r="HN301" s="33"/>
      <c r="HO301" s="33"/>
      <c r="HP301" s="33"/>
      <c r="HQ301" s="33"/>
      <c r="HR301" s="33"/>
      <c r="HS301" s="33"/>
      <c r="HT301" s="33"/>
      <c r="HU301" s="33"/>
      <c r="HV301" s="33"/>
      <c r="HW301" s="33"/>
      <c r="HX301" s="33"/>
      <c r="HY301" s="33"/>
      <c r="HZ301" s="33"/>
      <c r="IA301" s="33"/>
      <c r="IB301" s="33"/>
      <c r="IC301" s="33"/>
      <c r="ID301" s="33"/>
      <c r="IE301" s="33"/>
      <c r="IF301" s="33"/>
      <c r="IG301" s="33"/>
      <c r="IH301" s="33"/>
      <c r="II301" s="33"/>
      <c r="IJ301" s="33"/>
      <c r="IK301" s="33"/>
      <c r="IL301" s="33"/>
      <c r="IM301" s="33"/>
      <c r="IN301" s="33"/>
      <c r="IO301" s="33"/>
      <c r="IP301" s="33"/>
      <c r="IQ301" s="33"/>
      <c r="IR301" s="33"/>
      <c r="IS301" s="33"/>
      <c r="IT301" s="33"/>
      <c r="IU301" s="33"/>
      <c r="IV301" s="33"/>
      <c r="IW301" s="33"/>
      <c r="IX301" s="33"/>
      <c r="IY301" s="33"/>
      <c r="IZ301" s="33"/>
      <c r="JA301" s="33"/>
      <c r="JB301" s="33"/>
      <c r="JC301" s="33"/>
      <c r="JD301" s="33"/>
      <c r="JE301" s="33"/>
      <c r="JF301" s="33"/>
      <c r="JG301" s="33"/>
      <c r="JH301" s="33"/>
      <c r="JI301" s="33"/>
      <c r="JJ301" s="33"/>
      <c r="JK301" s="33"/>
      <c r="JL301" s="33"/>
      <c r="JM301" s="33"/>
      <c r="JN301" s="33"/>
      <c r="JO301" s="33"/>
      <c r="JP301" s="33"/>
      <c r="JQ301" s="33"/>
      <c r="JR301" s="33"/>
      <c r="JS301" s="33"/>
      <c r="JT301" s="33"/>
      <c r="JU301" s="33"/>
      <c r="JV301" s="33"/>
      <c r="JW301" s="33"/>
      <c r="JX301" s="33"/>
      <c r="JY301" s="33"/>
      <c r="JZ301" s="33"/>
      <c r="KA301" s="33"/>
      <c r="KB301" s="33"/>
      <c r="KC301" s="33"/>
      <c r="KD301" s="33"/>
      <c r="KE301" s="33"/>
      <c r="KF301" s="33"/>
      <c r="KG301" s="33"/>
      <c r="KH301" s="33"/>
      <c r="KI301" s="33"/>
      <c r="KJ301" s="33"/>
      <c r="KK301" s="33"/>
      <c r="KL301" s="33"/>
    </row>
    <row r="302" spans="1:298" s="53" customFormat="1">
      <c r="A302" s="65" t="s">
        <v>77</v>
      </c>
      <c r="B302" s="51">
        <v>4000</v>
      </c>
      <c r="C302" s="53">
        <v>9.8000000000000007</v>
      </c>
      <c r="D302" s="53">
        <f>1.62*0.118*64</f>
        <v>12.23424</v>
      </c>
      <c r="E302" s="53">
        <f>SQRT((0.45/1.62*D302)^2+(0.5*(F302+G302))^2)</f>
        <v>4.0832314641767145</v>
      </c>
      <c r="F302" s="53">
        <v>2.5358864327999999</v>
      </c>
      <c r="G302" s="53">
        <v>1.9912126958</v>
      </c>
      <c r="H302" s="76">
        <v>1.3</v>
      </c>
      <c r="I302" s="76">
        <v>1.3</v>
      </c>
      <c r="J302" s="53">
        <v>1.3</v>
      </c>
      <c r="K302" s="56">
        <v>0</v>
      </c>
      <c r="L302" s="53">
        <v>1</v>
      </c>
      <c r="M302" s="53">
        <f t="shared" si="43"/>
        <v>9.8000000000000007</v>
      </c>
      <c r="N302" s="53">
        <f t="shared" si="42"/>
        <v>119.89555200000001</v>
      </c>
      <c r="O302">
        <f t="shared" si="39"/>
        <v>24.851687041439988</v>
      </c>
      <c r="P302">
        <f t="shared" si="40"/>
        <v>19.513884418840007</v>
      </c>
      <c r="R302" s="33">
        <f>N302+Qy!R333</f>
        <v>180.547093459824</v>
      </c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79"/>
      <c r="AN302" s="33"/>
      <c r="AO302" s="33"/>
      <c r="AP302" s="33"/>
      <c r="AQ302" s="33"/>
      <c r="AR302" s="33"/>
      <c r="AS302" s="78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  <c r="GE302" s="33"/>
      <c r="GF302" s="33"/>
      <c r="GG302" s="33"/>
      <c r="GH302" s="33"/>
      <c r="GI302" s="33"/>
      <c r="GJ302" s="33"/>
      <c r="GK302" s="33"/>
      <c r="GL302" s="33"/>
      <c r="GM302" s="33"/>
      <c r="GN302" s="33"/>
      <c r="GO302" s="33"/>
      <c r="GP302" s="33"/>
      <c r="GQ302" s="33"/>
      <c r="GR302" s="33"/>
      <c r="GS302" s="33"/>
      <c r="GT302" s="33"/>
      <c r="GU302" s="33"/>
      <c r="GV302" s="33"/>
      <c r="GW302" s="33"/>
      <c r="GX302" s="33"/>
      <c r="GY302" s="33"/>
      <c r="GZ302" s="33"/>
      <c r="HA302" s="33"/>
      <c r="HB302" s="33"/>
      <c r="HC302" s="33"/>
      <c r="HD302" s="33"/>
      <c r="HE302" s="33"/>
      <c r="HF302" s="33"/>
      <c r="HG302" s="33"/>
      <c r="HH302" s="33"/>
      <c r="HI302" s="33"/>
      <c r="HJ302" s="33"/>
      <c r="HK302" s="33"/>
      <c r="HL302" s="33"/>
      <c r="HM302" s="33"/>
      <c r="HN302" s="33"/>
      <c r="HO302" s="33"/>
      <c r="HP302" s="33"/>
      <c r="HQ302" s="33"/>
      <c r="HR302" s="33"/>
      <c r="HS302" s="33"/>
      <c r="HT302" s="33"/>
      <c r="HU302" s="33"/>
      <c r="HV302" s="33"/>
      <c r="HW302" s="33"/>
      <c r="HX302" s="33"/>
      <c r="HY302" s="33"/>
      <c r="HZ302" s="33"/>
      <c r="IA302" s="33"/>
      <c r="IB302" s="33"/>
      <c r="IC302" s="33"/>
      <c r="ID302" s="33"/>
      <c r="IE302" s="33"/>
      <c r="IF302" s="33"/>
      <c r="IG302" s="33"/>
      <c r="IH302" s="33"/>
      <c r="II302" s="33"/>
      <c r="IJ302" s="33"/>
      <c r="IK302" s="33"/>
      <c r="IL302" s="33"/>
      <c r="IM302" s="33"/>
      <c r="IN302" s="33"/>
      <c r="IO302" s="33"/>
      <c r="IP302" s="33"/>
      <c r="IQ302" s="33"/>
      <c r="IR302" s="33"/>
      <c r="IS302" s="33"/>
      <c r="IT302" s="33"/>
      <c r="IU302" s="33"/>
      <c r="IV302" s="33"/>
      <c r="IW302" s="33"/>
      <c r="IX302" s="33"/>
      <c r="IY302" s="33"/>
      <c r="IZ302" s="33"/>
      <c r="JA302" s="33"/>
      <c r="JB302" s="33"/>
      <c r="JC302" s="33"/>
      <c r="JD302" s="33"/>
      <c r="JE302" s="33"/>
      <c r="JF302" s="33"/>
      <c r="JG302" s="33"/>
      <c r="JH302" s="33"/>
      <c r="JI302" s="33"/>
      <c r="JJ302" s="33"/>
      <c r="JK302" s="33"/>
      <c r="JL302" s="33"/>
      <c r="JM302" s="33"/>
      <c r="JN302" s="33"/>
      <c r="JO302" s="33"/>
      <c r="JP302" s="33"/>
      <c r="JQ302" s="33"/>
      <c r="JR302" s="33"/>
      <c r="JS302" s="33"/>
      <c r="JT302" s="33"/>
      <c r="JU302" s="33"/>
      <c r="JV302" s="33"/>
      <c r="JW302" s="33"/>
      <c r="JX302" s="33"/>
      <c r="JY302" s="33"/>
      <c r="JZ302" s="33"/>
      <c r="KA302" s="33"/>
      <c r="KB302" s="33"/>
      <c r="KC302" s="33"/>
      <c r="KD302" s="33"/>
      <c r="KE302" s="33"/>
      <c r="KF302" s="33"/>
      <c r="KG302" s="33"/>
      <c r="KH302" s="33"/>
      <c r="KI302" s="33"/>
      <c r="KJ302" s="33"/>
      <c r="KK302" s="33"/>
      <c r="KL302" s="33"/>
    </row>
    <row r="303" spans="1:298" s="53" customFormat="1">
      <c r="A303" s="54"/>
      <c r="B303" s="51">
        <v>4000</v>
      </c>
      <c r="C303" s="53">
        <v>15.1</v>
      </c>
      <c r="D303" s="53">
        <f>1.08*0.123*64</f>
        <v>8.5017600000000009</v>
      </c>
      <c r="E303" s="53">
        <f>SQRT((0.18/1.08*D303)^2+(0.5*(F303+G303))^2)</f>
        <v>2.4494156800516595</v>
      </c>
      <c r="F303" s="53">
        <v>2.2726759558</v>
      </c>
      <c r="G303" s="53">
        <v>1.7232527383</v>
      </c>
      <c r="H303" s="76">
        <v>1.5</v>
      </c>
      <c r="I303" s="76">
        <v>1.5</v>
      </c>
      <c r="J303" s="53">
        <v>1.5</v>
      </c>
      <c r="K303" s="56">
        <v>0</v>
      </c>
      <c r="L303" s="53">
        <v>1</v>
      </c>
      <c r="M303" s="53">
        <f t="shared" si="43"/>
        <v>15.1</v>
      </c>
      <c r="N303" s="53">
        <f t="shared" si="42"/>
        <v>128.376576</v>
      </c>
      <c r="O303">
        <f t="shared" si="39"/>
        <v>34.317406932580013</v>
      </c>
      <c r="P303">
        <f t="shared" si="40"/>
        <v>26.021116348329997</v>
      </c>
      <c r="R303" s="33">
        <f>N303+Qy!R334</f>
        <v>199.62784765800001</v>
      </c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79"/>
      <c r="AN303" s="33"/>
      <c r="AO303" s="33"/>
      <c r="AP303" s="33"/>
      <c r="AQ303" s="33"/>
      <c r="AR303" s="33"/>
      <c r="AS303" s="78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  <c r="GE303" s="33"/>
      <c r="GF303" s="33"/>
      <c r="GG303" s="33"/>
      <c r="GH303" s="33"/>
      <c r="GI303" s="33"/>
      <c r="GJ303" s="33"/>
      <c r="GK303" s="33"/>
      <c r="GL303" s="33"/>
      <c r="GM303" s="33"/>
      <c r="GN303" s="33"/>
      <c r="GO303" s="33"/>
      <c r="GP303" s="33"/>
      <c r="GQ303" s="33"/>
      <c r="GR303" s="33"/>
      <c r="GS303" s="33"/>
      <c r="GT303" s="33"/>
      <c r="GU303" s="33"/>
      <c r="GV303" s="33"/>
      <c r="GW303" s="33"/>
      <c r="GX303" s="33"/>
      <c r="GY303" s="33"/>
      <c r="GZ303" s="33"/>
      <c r="HA303" s="33"/>
      <c r="HB303" s="33"/>
      <c r="HC303" s="33"/>
      <c r="HD303" s="33"/>
      <c r="HE303" s="33"/>
      <c r="HF303" s="33"/>
      <c r="HG303" s="33"/>
      <c r="HH303" s="33"/>
      <c r="HI303" s="33"/>
      <c r="HJ303" s="33"/>
      <c r="HK303" s="33"/>
      <c r="HL303" s="33"/>
      <c r="HM303" s="33"/>
      <c r="HN303" s="33"/>
      <c r="HO303" s="33"/>
      <c r="HP303" s="33"/>
      <c r="HQ303" s="33"/>
      <c r="HR303" s="33"/>
      <c r="HS303" s="33"/>
      <c r="HT303" s="33"/>
      <c r="HU303" s="33"/>
      <c r="HV303" s="33"/>
      <c r="HW303" s="33"/>
      <c r="HX303" s="33"/>
      <c r="HY303" s="33"/>
      <c r="HZ303" s="33"/>
      <c r="IA303" s="33"/>
      <c r="IB303" s="33"/>
      <c r="IC303" s="33"/>
      <c r="ID303" s="33"/>
      <c r="IE303" s="33"/>
      <c r="IF303" s="33"/>
      <c r="IG303" s="33"/>
      <c r="IH303" s="33"/>
      <c r="II303" s="33"/>
      <c r="IJ303" s="33"/>
      <c r="IK303" s="33"/>
      <c r="IL303" s="33"/>
      <c r="IM303" s="33"/>
      <c r="IN303" s="33"/>
      <c r="IO303" s="33"/>
      <c r="IP303" s="33"/>
      <c r="IQ303" s="33"/>
      <c r="IR303" s="33"/>
      <c r="IS303" s="33"/>
      <c r="IT303" s="33"/>
      <c r="IU303" s="33"/>
      <c r="IV303" s="33"/>
      <c r="IW303" s="33"/>
      <c r="IX303" s="33"/>
      <c r="IY303" s="33"/>
      <c r="IZ303" s="33"/>
      <c r="JA303" s="33"/>
      <c r="JB303" s="33"/>
      <c r="JC303" s="33"/>
      <c r="JD303" s="33"/>
      <c r="JE303" s="33"/>
      <c r="JF303" s="33"/>
      <c r="JG303" s="33"/>
      <c r="JH303" s="33"/>
      <c r="JI303" s="33"/>
      <c r="JJ303" s="33"/>
      <c r="JK303" s="33"/>
      <c r="JL303" s="33"/>
      <c r="JM303" s="33"/>
      <c r="JN303" s="33"/>
      <c r="JO303" s="33"/>
      <c r="JP303" s="33"/>
      <c r="JQ303" s="33"/>
      <c r="JR303" s="33"/>
      <c r="JS303" s="33"/>
      <c r="JT303" s="33"/>
      <c r="JU303" s="33"/>
      <c r="JV303" s="33"/>
      <c r="JW303" s="33"/>
      <c r="JX303" s="33"/>
      <c r="JY303" s="33"/>
      <c r="JZ303" s="33"/>
      <c r="KA303" s="33"/>
      <c r="KB303" s="33"/>
      <c r="KC303" s="33"/>
      <c r="KD303" s="33"/>
      <c r="KE303" s="33"/>
      <c r="KF303" s="33"/>
      <c r="KG303" s="33"/>
      <c r="KH303" s="33"/>
      <c r="KI303" s="33"/>
      <c r="KJ303" s="33"/>
      <c r="KK303" s="33"/>
      <c r="KL303" s="33"/>
    </row>
    <row r="304" spans="1:298" s="53" customFormat="1">
      <c r="A304" s="54"/>
      <c r="B304" s="51">
        <v>4000</v>
      </c>
      <c r="C304" s="53">
        <v>57.7</v>
      </c>
      <c r="D304" s="53">
        <f>0.93*0.182*64</f>
        <v>10.83264</v>
      </c>
      <c r="E304" s="53">
        <f>SQRT((0.06/0.93*D304)^2+(0.5*(F304+G304))^2)</f>
        <v>0.92777352531679058</v>
      </c>
      <c r="F304" s="53">
        <v>0.63032689929999997</v>
      </c>
      <c r="G304" s="53">
        <v>0.59005084529999996</v>
      </c>
      <c r="H304" s="76">
        <v>3.2</v>
      </c>
      <c r="I304" s="76">
        <v>3.2</v>
      </c>
      <c r="J304" s="53">
        <v>3.2</v>
      </c>
      <c r="K304" s="56">
        <v>0</v>
      </c>
      <c r="L304" s="53">
        <v>1</v>
      </c>
      <c r="M304" s="53">
        <f t="shared" si="43"/>
        <v>57.7</v>
      </c>
      <c r="N304" s="53">
        <f t="shared" si="42"/>
        <v>625.04332799999997</v>
      </c>
      <c r="O304">
        <f t="shared" si="39"/>
        <v>36.369862089610024</v>
      </c>
      <c r="P304">
        <f t="shared" si="40"/>
        <v>34.04593377381002</v>
      </c>
      <c r="R304" s="33">
        <f>N304+Qy!R335</f>
        <v>796.58578223699999</v>
      </c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79"/>
      <c r="AN304" s="33"/>
      <c r="AO304" s="33"/>
      <c r="AP304" s="33"/>
      <c r="AQ304" s="33"/>
      <c r="AR304" s="33"/>
      <c r="AS304" s="78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  <c r="GE304" s="33"/>
      <c r="GF304" s="33"/>
      <c r="GG304" s="33"/>
      <c r="GH304" s="33"/>
      <c r="GI304" s="33"/>
      <c r="GJ304" s="33"/>
      <c r="GK304" s="33"/>
      <c r="GL304" s="33"/>
      <c r="GM304" s="33"/>
      <c r="GN304" s="33"/>
      <c r="GO304" s="33"/>
      <c r="GP304" s="33"/>
      <c r="GQ304" s="33"/>
      <c r="GR304" s="33"/>
      <c r="GS304" s="33"/>
      <c r="GT304" s="33"/>
      <c r="GU304" s="33"/>
      <c r="GV304" s="33"/>
      <c r="GW304" s="33"/>
      <c r="GX304" s="33"/>
      <c r="GY304" s="33"/>
      <c r="GZ304" s="33"/>
      <c r="HA304" s="33"/>
      <c r="HB304" s="33"/>
      <c r="HC304" s="33"/>
      <c r="HD304" s="33"/>
      <c r="HE304" s="33"/>
      <c r="HF304" s="33"/>
      <c r="HG304" s="33"/>
      <c r="HH304" s="33"/>
      <c r="HI304" s="33"/>
      <c r="HJ304" s="33"/>
      <c r="HK304" s="33"/>
      <c r="HL304" s="33"/>
      <c r="HM304" s="33"/>
      <c r="HN304" s="33"/>
      <c r="HO304" s="33"/>
      <c r="HP304" s="33"/>
      <c r="HQ304" s="33"/>
      <c r="HR304" s="33"/>
      <c r="HS304" s="33"/>
      <c r="HT304" s="33"/>
      <c r="HU304" s="33"/>
      <c r="HV304" s="33"/>
      <c r="HW304" s="33"/>
      <c r="HX304" s="33"/>
      <c r="HY304" s="33"/>
      <c r="HZ304" s="33"/>
      <c r="IA304" s="33"/>
      <c r="IB304" s="33"/>
      <c r="IC304" s="33"/>
      <c r="ID304" s="33"/>
      <c r="IE304" s="33"/>
      <c r="IF304" s="33"/>
      <c r="IG304" s="33"/>
      <c r="IH304" s="33"/>
      <c r="II304" s="33"/>
      <c r="IJ304" s="33"/>
      <c r="IK304" s="33"/>
      <c r="IL304" s="33"/>
      <c r="IM304" s="33"/>
      <c r="IN304" s="33"/>
      <c r="IO304" s="33"/>
      <c r="IP304" s="33"/>
      <c r="IQ304" s="33"/>
      <c r="IR304" s="33"/>
      <c r="IS304" s="33"/>
      <c r="IT304" s="33"/>
      <c r="IU304" s="33"/>
      <c r="IV304" s="33"/>
      <c r="IW304" s="33"/>
      <c r="IX304" s="33"/>
      <c r="IY304" s="33"/>
      <c r="IZ304" s="33"/>
      <c r="JA304" s="33"/>
      <c r="JB304" s="33"/>
      <c r="JC304" s="33"/>
      <c r="JD304" s="33"/>
      <c r="JE304" s="33"/>
      <c r="JF304" s="33"/>
      <c r="JG304" s="33"/>
      <c r="JH304" s="33"/>
      <c r="JI304" s="33"/>
      <c r="JJ304" s="33"/>
      <c r="JK304" s="33"/>
      <c r="JL304" s="33"/>
      <c r="JM304" s="33"/>
      <c r="JN304" s="33"/>
      <c r="JO304" s="33"/>
      <c r="JP304" s="33"/>
      <c r="JQ304" s="33"/>
      <c r="JR304" s="33"/>
      <c r="JS304" s="33"/>
      <c r="JT304" s="33"/>
      <c r="JU304" s="33"/>
      <c r="JV304" s="33"/>
      <c r="JW304" s="33"/>
      <c r="JX304" s="33"/>
      <c r="JY304" s="33"/>
      <c r="JZ304" s="33"/>
      <c r="KA304" s="33"/>
      <c r="KB304" s="33"/>
      <c r="KC304" s="33"/>
      <c r="KD304" s="33"/>
      <c r="KE304" s="33"/>
      <c r="KF304" s="33"/>
      <c r="KG304" s="33"/>
      <c r="KH304" s="33"/>
      <c r="KI304" s="33"/>
      <c r="KJ304" s="33"/>
      <c r="KK304" s="33"/>
      <c r="KL304" s="33"/>
    </row>
    <row r="305" spans="1:45" s="33" customFormat="1">
      <c r="A305" s="45" t="s">
        <v>25</v>
      </c>
      <c r="B305" s="4">
        <v>4060</v>
      </c>
      <c r="C305" s="7">
        <v>7.2261532129999999</v>
      </c>
      <c r="D305" s="8">
        <v>6.5025533600000003</v>
      </c>
      <c r="E305" s="33">
        <f>0.06*D305</f>
        <v>0.3901532016</v>
      </c>
      <c r="F305" s="33">
        <f>0.06*D305</f>
        <v>0.3901532016</v>
      </c>
      <c r="G305" s="33">
        <f>0.06*D305</f>
        <v>0.3901532016</v>
      </c>
      <c r="H305" s="7">
        <v>0.17264154600000001</v>
      </c>
      <c r="I305" s="7">
        <v>0.24063146899999999</v>
      </c>
      <c r="J305" s="7">
        <v>0.206636508</v>
      </c>
      <c r="K305" s="58">
        <v>190</v>
      </c>
      <c r="L305" s="33">
        <v>1</v>
      </c>
      <c r="M305" s="33">
        <f t="shared" si="43"/>
        <v>7.2261532129999999</v>
      </c>
      <c r="N305" s="33">
        <f t="shared" si="42"/>
        <v>46.988446855067949</v>
      </c>
      <c r="O305">
        <f t="shared" si="39"/>
        <v>2.8193068113040809</v>
      </c>
      <c r="P305">
        <f t="shared" si="40"/>
        <v>2.8193068113040809</v>
      </c>
      <c r="R305" s="33">
        <f>N305+Qy!R336</f>
        <v>96.247954752791372</v>
      </c>
      <c r="AM305" s="79"/>
      <c r="AS305" s="78"/>
    </row>
    <row r="306" spans="1:45" s="33" customFormat="1">
      <c r="A306" s="66" t="s">
        <v>65</v>
      </c>
      <c r="B306" s="4">
        <v>4060</v>
      </c>
      <c r="C306" s="7">
        <v>9.7292153250000002</v>
      </c>
      <c r="D306" s="8">
        <v>7.1920579800000004</v>
      </c>
      <c r="E306" s="33">
        <f t="shared" ref="E306:E322" si="44">0.06*D306</f>
        <v>0.43152347880000003</v>
      </c>
      <c r="F306" s="33">
        <f t="shared" ref="F306:F322" si="45">0.06*D306</f>
        <v>0.43152347880000003</v>
      </c>
      <c r="G306" s="33">
        <f t="shared" ref="G306:G322" si="46">0.06*D306</f>
        <v>0.43152347880000003</v>
      </c>
      <c r="H306" s="7">
        <v>0.234007083</v>
      </c>
      <c r="I306" s="7">
        <v>0.22948606999999999</v>
      </c>
      <c r="J306" s="7">
        <v>0.23174657700000001</v>
      </c>
      <c r="K306" s="58">
        <v>190</v>
      </c>
      <c r="L306" s="33">
        <v>1</v>
      </c>
      <c r="M306" s="33">
        <f t="shared" si="43"/>
        <v>9.7292153250000002</v>
      </c>
      <c r="N306" s="33">
        <f t="shared" si="42"/>
        <v>69.973080717304555</v>
      </c>
      <c r="O306">
        <f t="shared" si="39"/>
        <v>4.1983848430382693</v>
      </c>
      <c r="P306">
        <f t="shared" si="40"/>
        <v>4.1983848430382835</v>
      </c>
      <c r="R306" s="33">
        <f>N306+Qy!R337</f>
        <v>133.53877189130807</v>
      </c>
      <c r="AM306" s="79"/>
      <c r="AS306" s="78"/>
    </row>
    <row r="307" spans="1:45" s="33" customFormat="1">
      <c r="A307" s="45"/>
      <c r="B307" s="4">
        <v>4060</v>
      </c>
      <c r="C307" s="7">
        <v>12.292660720000001</v>
      </c>
      <c r="D307" s="8">
        <v>7.7280610090000001</v>
      </c>
      <c r="E307" s="33">
        <f t="shared" si="44"/>
        <v>0.46368366053999999</v>
      </c>
      <c r="F307" s="33">
        <f t="shared" si="45"/>
        <v>0.46368366053999999</v>
      </c>
      <c r="G307" s="33">
        <f t="shared" si="46"/>
        <v>0.46368366053999999</v>
      </c>
      <c r="H307" s="7">
        <v>0.273496925</v>
      </c>
      <c r="I307" s="7">
        <v>0.32144856900000002</v>
      </c>
      <c r="J307" s="7">
        <v>0.29747274699999998</v>
      </c>
      <c r="K307" s="58">
        <v>190</v>
      </c>
      <c r="L307" s="33">
        <v>1</v>
      </c>
      <c r="M307" s="33">
        <f t="shared" si="43"/>
        <v>12.292660720000001</v>
      </c>
      <c r="N307" s="33">
        <f t="shared" si="42"/>
        <v>94.998432007097875</v>
      </c>
      <c r="O307">
        <f t="shared" si="39"/>
        <v>5.6999059204258771</v>
      </c>
      <c r="P307">
        <f t="shared" si="40"/>
        <v>5.6999059204258771</v>
      </c>
      <c r="R307" s="33">
        <f>N307+Qy!R338</f>
        <v>172.04191800850023</v>
      </c>
      <c r="AM307" s="79"/>
      <c r="AS307" s="78"/>
    </row>
    <row r="308" spans="1:45" s="33" customFormat="1">
      <c r="A308" s="45"/>
      <c r="B308" s="4">
        <v>4060</v>
      </c>
      <c r="C308" s="7">
        <v>14.604795169999999</v>
      </c>
      <c r="D308" s="8">
        <v>8.1926297449999996</v>
      </c>
      <c r="E308" s="33">
        <f t="shared" si="44"/>
        <v>0.49155778469999994</v>
      </c>
      <c r="F308" s="33">
        <f t="shared" si="45"/>
        <v>0.49155778469999994</v>
      </c>
      <c r="G308" s="33">
        <f t="shared" si="46"/>
        <v>0.49155778469999994</v>
      </c>
      <c r="H308" s="7">
        <v>0.29859004500000003</v>
      </c>
      <c r="I308" s="7">
        <v>0.30426218999999999</v>
      </c>
      <c r="J308" s="7">
        <v>0.30142611800000002</v>
      </c>
      <c r="K308" s="58">
        <v>190</v>
      </c>
      <c r="L308" s="33">
        <v>1</v>
      </c>
      <c r="M308" s="33">
        <f t="shared" si="43"/>
        <v>14.604795169999999</v>
      </c>
      <c r="N308" s="33">
        <f t="shared" si="42"/>
        <v>119.65167932937432</v>
      </c>
      <c r="O308">
        <f t="shared" si="39"/>
        <v>7.1791007597624485</v>
      </c>
      <c r="P308">
        <f t="shared" si="40"/>
        <v>7.1791007597624628</v>
      </c>
      <c r="R308" s="33">
        <f>N308+Qy!R339</f>
        <v>207.89598014551149</v>
      </c>
      <c r="AM308" s="79"/>
      <c r="AS308" s="78"/>
    </row>
    <row r="309" spans="1:45" s="33" customFormat="1">
      <c r="A309" s="45"/>
      <c r="B309" s="4">
        <v>4060</v>
      </c>
      <c r="C309" s="7">
        <v>17.229005870000002</v>
      </c>
      <c r="D309" s="8">
        <v>8.2508885159999998</v>
      </c>
      <c r="E309" s="33">
        <f t="shared" si="44"/>
        <v>0.49505331095999999</v>
      </c>
      <c r="F309" s="33">
        <f t="shared" si="45"/>
        <v>0.49505331095999999</v>
      </c>
      <c r="G309" s="33">
        <f t="shared" si="46"/>
        <v>0.49505331095999999</v>
      </c>
      <c r="H309" s="7">
        <v>0.50352016600000005</v>
      </c>
      <c r="I309" s="7">
        <v>0.34483102300000001</v>
      </c>
      <c r="J309" s="7">
        <v>0.42417559500000002</v>
      </c>
      <c r="K309" s="58">
        <v>190</v>
      </c>
      <c r="L309" s="33">
        <v>1</v>
      </c>
      <c r="M309" s="33">
        <f t="shared" si="43"/>
        <v>17.229005870000002</v>
      </c>
      <c r="N309" s="33">
        <f t="shared" si="42"/>
        <v>142.1546066748796</v>
      </c>
      <c r="O309">
        <f t="shared" si="39"/>
        <v>8.5292764004927619</v>
      </c>
      <c r="P309">
        <f t="shared" si="40"/>
        <v>8.5292764004927903</v>
      </c>
      <c r="R309" s="33">
        <f>N309+Qy!R340</f>
        <v>244.61180224557557</v>
      </c>
      <c r="AM309" s="79"/>
      <c r="AS309" s="78"/>
    </row>
    <row r="310" spans="1:45" s="33" customFormat="1">
      <c r="A310" s="45"/>
      <c r="B310" s="4">
        <v>4060</v>
      </c>
      <c r="C310" s="7">
        <v>19.614904599999999</v>
      </c>
      <c r="D310" s="8">
        <v>8.8596913690000001</v>
      </c>
      <c r="E310" s="33">
        <f t="shared" si="44"/>
        <v>0.53158148214000001</v>
      </c>
      <c r="F310" s="33">
        <f t="shared" si="45"/>
        <v>0.53158148214000001</v>
      </c>
      <c r="G310" s="33">
        <f t="shared" si="46"/>
        <v>0.53158148214000001</v>
      </c>
      <c r="H310" s="7">
        <v>0.16785602499999999</v>
      </c>
      <c r="I310" s="7">
        <v>0.29391602999999999</v>
      </c>
      <c r="J310" s="7">
        <v>0.23088602799999999</v>
      </c>
      <c r="K310" s="58">
        <v>190</v>
      </c>
      <c r="L310" s="33">
        <v>1</v>
      </c>
      <c r="M310" s="33">
        <f t="shared" si="43"/>
        <v>19.614904599999999</v>
      </c>
      <c r="N310" s="33">
        <f t="shared" si="42"/>
        <v>173.7820009883784</v>
      </c>
      <c r="O310">
        <f t="shared" si="39"/>
        <v>10.426920059302688</v>
      </c>
      <c r="P310">
        <f t="shared" si="40"/>
        <v>10.426920059302716</v>
      </c>
      <c r="R310" s="33">
        <f>N310+Qy!R341</f>
        <v>281.83390706831335</v>
      </c>
      <c r="AM310" s="79"/>
      <c r="AS310" s="78"/>
    </row>
    <row r="311" spans="1:45" s="33" customFormat="1">
      <c r="A311" s="45"/>
      <c r="B311" s="4">
        <v>4060</v>
      </c>
      <c r="C311" s="7">
        <v>22.116258080000001</v>
      </c>
      <c r="D311" s="8">
        <v>8.9154004610000008</v>
      </c>
      <c r="E311" s="33">
        <f t="shared" si="44"/>
        <v>0.53492402766000002</v>
      </c>
      <c r="F311" s="33">
        <f t="shared" si="45"/>
        <v>0.53492402766000002</v>
      </c>
      <c r="G311" s="33">
        <f t="shared" si="46"/>
        <v>0.53492402766000002</v>
      </c>
      <c r="H311" s="7">
        <v>0.37942098400000002</v>
      </c>
      <c r="I311" s="7">
        <v>0.324932677</v>
      </c>
      <c r="J311" s="7">
        <v>0.35217683100000002</v>
      </c>
      <c r="K311" s="58">
        <v>190</v>
      </c>
      <c r="L311" s="33">
        <v>1</v>
      </c>
      <c r="M311" s="33">
        <f t="shared" si="43"/>
        <v>22.116258080000001</v>
      </c>
      <c r="N311" s="33">
        <f t="shared" si="42"/>
        <v>197.17529748202702</v>
      </c>
      <c r="O311">
        <f t="shared" si="39"/>
        <v>11.83051784892163</v>
      </c>
      <c r="P311">
        <f t="shared" si="40"/>
        <v>11.830517848921659</v>
      </c>
      <c r="R311" s="33">
        <f>N311+Qy!R342</f>
        <v>318.01128680613976</v>
      </c>
      <c r="AM311" s="79"/>
      <c r="AS311" s="78"/>
    </row>
    <row r="312" spans="1:45" s="33" customFormat="1">
      <c r="A312" s="45"/>
      <c r="B312" s="4">
        <v>4060</v>
      </c>
      <c r="C312" s="7">
        <v>24.38159769</v>
      </c>
      <c r="D312" s="8">
        <v>9.3363063299999993</v>
      </c>
      <c r="E312" s="33">
        <f t="shared" si="44"/>
        <v>0.56017837979999996</v>
      </c>
      <c r="F312" s="33">
        <f t="shared" si="45"/>
        <v>0.56017837979999996</v>
      </c>
      <c r="G312" s="33">
        <f t="shared" si="46"/>
        <v>0.56017837979999996</v>
      </c>
      <c r="H312" s="7">
        <v>0.33487066599999998</v>
      </c>
      <c r="I312" s="7">
        <v>0.32434484699999999</v>
      </c>
      <c r="J312" s="7">
        <v>0.329607757</v>
      </c>
      <c r="K312" s="58">
        <v>190</v>
      </c>
      <c r="L312" s="33">
        <v>1</v>
      </c>
      <c r="M312" s="33">
        <f t="shared" si="43"/>
        <v>24.38159769</v>
      </c>
      <c r="N312" s="33">
        <f t="shared" si="42"/>
        <v>227.63406484866036</v>
      </c>
      <c r="O312">
        <f t="shared" si="39"/>
        <v>13.658043890919629</v>
      </c>
      <c r="P312">
        <f t="shared" si="40"/>
        <v>13.658043890919629</v>
      </c>
      <c r="R312" s="33">
        <f>N312+Qy!R343</f>
        <v>352.8518066703669</v>
      </c>
      <c r="AM312" s="79"/>
      <c r="AS312" s="78"/>
    </row>
    <row r="313" spans="1:45" s="33" customFormat="1">
      <c r="A313" s="45"/>
      <c r="B313" s="4">
        <v>4060</v>
      </c>
      <c r="C313" s="7">
        <v>26.581474</v>
      </c>
      <c r="D313" s="8">
        <v>9.6675243480000006</v>
      </c>
      <c r="E313" s="33">
        <f t="shared" si="44"/>
        <v>0.58005146088000004</v>
      </c>
      <c r="F313" s="33">
        <f t="shared" si="45"/>
        <v>0.58005146088000004</v>
      </c>
      <c r="G313" s="33">
        <f t="shared" si="46"/>
        <v>0.58005146088000004</v>
      </c>
      <c r="H313" s="7">
        <v>0.28772400300000001</v>
      </c>
      <c r="I313" s="7">
        <v>0.32111444500000003</v>
      </c>
      <c r="J313" s="7">
        <v>0.30441922399999999</v>
      </c>
      <c r="K313" s="58">
        <v>190</v>
      </c>
      <c r="L313" s="33">
        <v>1</v>
      </c>
      <c r="M313" s="33">
        <f t="shared" si="43"/>
        <v>26.581474</v>
      </c>
      <c r="N313" s="33">
        <f t="shared" si="42"/>
        <v>256.97704710072895</v>
      </c>
      <c r="O313">
        <f t="shared" si="39"/>
        <v>15.418622826043759</v>
      </c>
      <c r="P313">
        <f t="shared" si="40"/>
        <v>15.41862282604373</v>
      </c>
      <c r="R313" s="33">
        <f>N313+Qy!R344</f>
        <v>389.11666870180193</v>
      </c>
      <c r="AM313" s="79"/>
      <c r="AS313" s="78"/>
    </row>
    <row r="314" spans="1:45" s="33" customFormat="1">
      <c r="A314" s="45"/>
      <c r="B314" s="4">
        <v>4060</v>
      </c>
      <c r="C314" s="7">
        <v>29.417808040000001</v>
      </c>
      <c r="D314" s="8">
        <v>9.4919668959999992</v>
      </c>
      <c r="E314" s="33">
        <f t="shared" si="44"/>
        <v>0.56951801375999989</v>
      </c>
      <c r="F314" s="33">
        <f t="shared" si="45"/>
        <v>0.56951801375999989</v>
      </c>
      <c r="G314" s="33">
        <f t="shared" si="46"/>
        <v>0.56951801375999989</v>
      </c>
      <c r="H314" s="7">
        <v>0.27780197400000001</v>
      </c>
      <c r="I314" s="7">
        <v>0.33001609199999998</v>
      </c>
      <c r="J314" s="7">
        <v>0.303909033</v>
      </c>
      <c r="K314" s="58">
        <v>190</v>
      </c>
      <c r="L314" s="33">
        <v>1</v>
      </c>
      <c r="M314" s="33">
        <f t="shared" si="43"/>
        <v>29.417808040000001</v>
      </c>
      <c r="N314" s="33">
        <f t="shared" si="42"/>
        <v>279.23286006856262</v>
      </c>
      <c r="O314">
        <f t="shared" si="39"/>
        <v>16.753971604113758</v>
      </c>
      <c r="P314">
        <f t="shared" si="40"/>
        <v>16.753971604113758</v>
      </c>
      <c r="R314" s="33">
        <f>N314+Qy!R345</f>
        <v>425.04634269975372</v>
      </c>
      <c r="AM314" s="79"/>
      <c r="AS314" s="78"/>
    </row>
    <row r="315" spans="1:45" s="33" customFormat="1">
      <c r="A315" s="45"/>
      <c r="B315" s="4">
        <v>4060</v>
      </c>
      <c r="C315" s="7">
        <v>32.922489149999997</v>
      </c>
      <c r="D315" s="8">
        <v>9.6847922030000007</v>
      </c>
      <c r="E315" s="33">
        <f t="shared" si="44"/>
        <v>0.58108753217999998</v>
      </c>
      <c r="F315" s="33">
        <f t="shared" si="45"/>
        <v>0.58108753217999998</v>
      </c>
      <c r="G315" s="33">
        <f t="shared" si="46"/>
        <v>0.58108753217999998</v>
      </c>
      <c r="H315" s="7">
        <v>0.279466402</v>
      </c>
      <c r="I315" s="7">
        <v>0.32774557700000001</v>
      </c>
      <c r="J315" s="7">
        <v>0.30360598999999999</v>
      </c>
      <c r="K315" s="58">
        <v>190</v>
      </c>
      <c r="L315" s="33">
        <v>1</v>
      </c>
      <c r="M315" s="33">
        <f t="shared" si="43"/>
        <v>32.922489149999997</v>
      </c>
      <c r="N315" s="33">
        <f t="shared" si="42"/>
        <v>318.84746622327208</v>
      </c>
      <c r="O315">
        <f t="shared" si="39"/>
        <v>19.130847973396328</v>
      </c>
      <c r="P315">
        <f t="shared" si="40"/>
        <v>19.130847973396328</v>
      </c>
      <c r="R315" s="33">
        <f>N315+Qy!R346</f>
        <v>476.30817727544661</v>
      </c>
      <c r="AM315" s="79"/>
      <c r="AS315" s="78"/>
    </row>
    <row r="316" spans="1:45" s="33" customFormat="1">
      <c r="A316" s="45"/>
      <c r="B316" s="4">
        <v>4060</v>
      </c>
      <c r="C316" s="7">
        <v>37.54028701</v>
      </c>
      <c r="D316" s="8">
        <v>9.8711140549999996</v>
      </c>
      <c r="E316" s="33">
        <f t="shared" si="44"/>
        <v>0.5922668432999999</v>
      </c>
      <c r="F316" s="33">
        <f t="shared" si="45"/>
        <v>0.5922668432999999</v>
      </c>
      <c r="G316" s="33">
        <f t="shared" si="46"/>
        <v>0.5922668432999999</v>
      </c>
      <c r="H316" s="7">
        <v>0.46654917400000001</v>
      </c>
      <c r="I316" s="7">
        <v>0.36195212900000001</v>
      </c>
      <c r="J316" s="7">
        <v>0.414250652</v>
      </c>
      <c r="K316" s="58">
        <v>190</v>
      </c>
      <c r="L316" s="33">
        <v>1</v>
      </c>
      <c r="M316" s="33">
        <f t="shared" si="43"/>
        <v>37.54028701</v>
      </c>
      <c r="N316" s="33">
        <f t="shared" si="42"/>
        <v>370.56445473314488</v>
      </c>
      <c r="O316">
        <f t="shared" si="39"/>
        <v>22.233867283988673</v>
      </c>
      <c r="P316">
        <f t="shared" si="40"/>
        <v>22.233867283988616</v>
      </c>
      <c r="R316" s="33">
        <f>N316+Qy!R347</f>
        <v>545.5849830759787</v>
      </c>
      <c r="AM316" s="79"/>
      <c r="AS316" s="78"/>
    </row>
    <row r="317" spans="1:45" s="33" customFormat="1">
      <c r="A317" s="45"/>
      <c r="B317" s="4">
        <v>4060</v>
      </c>
      <c r="C317" s="7">
        <v>42.226866090000001</v>
      </c>
      <c r="D317" s="8">
        <v>10.19585111</v>
      </c>
      <c r="E317" s="33">
        <f t="shared" si="44"/>
        <v>0.6117510666</v>
      </c>
      <c r="F317" s="33">
        <f t="shared" si="45"/>
        <v>0.6117510666</v>
      </c>
      <c r="G317" s="33">
        <f t="shared" si="46"/>
        <v>0.6117510666</v>
      </c>
      <c r="H317" s="7">
        <v>0.37548021599999998</v>
      </c>
      <c r="I317" s="7">
        <v>0.287087967</v>
      </c>
      <c r="J317" s="7">
        <v>0.33128409199999997</v>
      </c>
      <c r="K317" s="58">
        <v>190</v>
      </c>
      <c r="L317" s="33">
        <v>1</v>
      </c>
      <c r="M317" s="33">
        <f t="shared" si="43"/>
        <v>42.226866090000001</v>
      </c>
      <c r="N317" s="33">
        <f t="shared" si="42"/>
        <v>430.53883949554785</v>
      </c>
      <c r="O317">
        <f t="shared" si="39"/>
        <v>25.832330369732858</v>
      </c>
      <c r="P317">
        <f t="shared" si="40"/>
        <v>25.832330369732858</v>
      </c>
      <c r="R317" s="33">
        <f>N317+Qy!R349</f>
        <v>632.36849255257744</v>
      </c>
      <c r="AM317" s="79"/>
      <c r="AS317" s="78"/>
    </row>
    <row r="318" spans="1:45" s="33" customFormat="1">
      <c r="A318" s="45"/>
      <c r="B318" s="4">
        <v>4060</v>
      </c>
      <c r="C318" s="7">
        <v>46.700567560000003</v>
      </c>
      <c r="D318" s="8">
        <v>10.34489814</v>
      </c>
      <c r="E318" s="33">
        <f t="shared" si="44"/>
        <v>0.62069388839999995</v>
      </c>
      <c r="F318" s="33">
        <f t="shared" si="45"/>
        <v>0.62069388839999995</v>
      </c>
      <c r="G318" s="33">
        <f t="shared" si="46"/>
        <v>0.62069388839999995</v>
      </c>
      <c r="H318" s="7">
        <v>0.47353676300000003</v>
      </c>
      <c r="I318" s="7">
        <v>0.35217029399999999</v>
      </c>
      <c r="J318" s="7">
        <v>0.412853529</v>
      </c>
      <c r="K318" s="58">
        <v>190</v>
      </c>
      <c r="L318" s="33">
        <v>1</v>
      </c>
      <c r="M318" s="33">
        <f t="shared" si="43"/>
        <v>46.700567560000003</v>
      </c>
      <c r="N318" s="33">
        <f t="shared" si="42"/>
        <v>483.11261448838837</v>
      </c>
      <c r="O318">
        <f t="shared" si="39"/>
        <v>28.986756869303292</v>
      </c>
      <c r="P318">
        <f t="shared" si="40"/>
        <v>28.986756869303292</v>
      </c>
      <c r="R318" s="33">
        <f>N318+Qy!R350</f>
        <v>700.65642590103289</v>
      </c>
      <c r="AM318" s="79"/>
      <c r="AS318" s="78"/>
    </row>
    <row r="319" spans="1:45" s="33" customFormat="1">
      <c r="A319" s="45"/>
      <c r="B319" s="4">
        <v>4060</v>
      </c>
      <c r="C319" s="7">
        <v>56.5</v>
      </c>
      <c r="D319" s="8">
        <v>10.679987580000001</v>
      </c>
      <c r="E319" s="33">
        <f t="shared" si="44"/>
        <v>0.6407992548</v>
      </c>
      <c r="F319" s="33">
        <f t="shared" si="45"/>
        <v>0.6407992548</v>
      </c>
      <c r="G319" s="33">
        <f t="shared" si="46"/>
        <v>0.6407992548</v>
      </c>
      <c r="H319" s="7">
        <v>0.372884508</v>
      </c>
      <c r="I319" s="7">
        <v>0.299861143</v>
      </c>
      <c r="J319" s="7">
        <v>0.33637282600000001</v>
      </c>
      <c r="K319" s="58">
        <v>190</v>
      </c>
      <c r="L319" s="33">
        <v>1</v>
      </c>
      <c r="M319" s="33">
        <f t="shared" si="43"/>
        <v>56.5</v>
      </c>
      <c r="N319" s="33">
        <f t="shared" si="42"/>
        <v>603.41929827000001</v>
      </c>
      <c r="O319">
        <f t="shared" si="39"/>
        <v>36.205157896199921</v>
      </c>
      <c r="P319">
        <f t="shared" si="40"/>
        <v>36.205157896199921</v>
      </c>
      <c r="R319" s="33">
        <f>N319+Qy!R351</f>
        <v>834.02858476999995</v>
      </c>
      <c r="AM319" s="79"/>
      <c r="AS319" s="78"/>
    </row>
    <row r="320" spans="1:45" s="33" customFormat="1">
      <c r="A320" s="45"/>
      <c r="B320" s="4">
        <v>4060</v>
      </c>
      <c r="C320" s="7">
        <v>60.766878630000001</v>
      </c>
      <c r="D320" s="8">
        <v>11.2863262</v>
      </c>
      <c r="E320" s="33">
        <f t="shared" si="44"/>
        <v>0.6771795719999999</v>
      </c>
      <c r="F320" s="33">
        <f t="shared" si="45"/>
        <v>0.6771795719999999</v>
      </c>
      <c r="G320" s="33">
        <f t="shared" si="46"/>
        <v>0.6771795719999999</v>
      </c>
      <c r="H320" s="7">
        <v>0.51272702699999995</v>
      </c>
      <c r="I320" s="7">
        <v>0.391205686</v>
      </c>
      <c r="J320" s="7">
        <v>0.45196635699999999</v>
      </c>
      <c r="K320" s="58">
        <v>190</v>
      </c>
      <c r="L320" s="33">
        <v>1</v>
      </c>
      <c r="M320" s="33">
        <f t="shared" si="43"/>
        <v>60.766878630000001</v>
      </c>
      <c r="N320" s="33">
        <f t="shared" si="42"/>
        <v>685.83481437398905</v>
      </c>
      <c r="O320">
        <f t="shared" si="39"/>
        <v>41.150088862439361</v>
      </c>
      <c r="P320">
        <f t="shared" si="40"/>
        <v>41.150088862439361</v>
      </c>
      <c r="R320" s="33">
        <f>N320+Qy!R352</f>
        <v>919.61480954354033</v>
      </c>
      <c r="AM320" s="79"/>
      <c r="AS320" s="78"/>
    </row>
    <row r="321" spans="1:108" s="33" customFormat="1">
      <c r="A321" s="45"/>
      <c r="B321" s="4">
        <v>4060</v>
      </c>
      <c r="C321" s="7">
        <v>68.153741550000007</v>
      </c>
      <c r="D321" s="8">
        <v>11.6920234</v>
      </c>
      <c r="E321" s="33">
        <f t="shared" si="44"/>
        <v>0.70152140399999996</v>
      </c>
      <c r="F321" s="33">
        <f t="shared" si="45"/>
        <v>0.70152140399999996</v>
      </c>
      <c r="G321" s="33">
        <f t="shared" si="46"/>
        <v>0.70152140399999996</v>
      </c>
      <c r="H321" s="7">
        <v>0.50212869199999999</v>
      </c>
      <c r="I321" s="7">
        <v>0.37382011599999998</v>
      </c>
      <c r="J321" s="7">
        <v>0.43797440399999998</v>
      </c>
      <c r="K321" s="58">
        <v>190</v>
      </c>
      <c r="L321" s="33">
        <v>1</v>
      </c>
      <c r="M321" s="33">
        <f t="shared" si="43"/>
        <v>68.153741550000007</v>
      </c>
      <c r="N321" s="33">
        <f t="shared" si="42"/>
        <v>796.85514100015234</v>
      </c>
      <c r="O321">
        <f t="shared" si="39"/>
        <v>47.811308460009059</v>
      </c>
      <c r="P321">
        <f t="shared" si="40"/>
        <v>47.811308460009059</v>
      </c>
      <c r="R321" s="33">
        <f>N321+Qy!R353</f>
        <v>1053.6421683575184</v>
      </c>
      <c r="AM321" s="79"/>
      <c r="AS321" s="78"/>
    </row>
    <row r="322" spans="1:108" s="33" customFormat="1">
      <c r="A322" s="45"/>
      <c r="B322" s="4">
        <v>4060</v>
      </c>
      <c r="C322" s="7">
        <v>77.224916190000002</v>
      </c>
      <c r="D322" s="8">
        <v>12.62338304</v>
      </c>
      <c r="E322" s="33">
        <f t="shared" si="44"/>
        <v>0.75740298240000004</v>
      </c>
      <c r="F322" s="33">
        <f t="shared" si="45"/>
        <v>0.75740298240000004</v>
      </c>
      <c r="G322" s="33">
        <f t="shared" si="46"/>
        <v>0.75740298240000004</v>
      </c>
      <c r="H322" s="7">
        <v>0.44429166599999997</v>
      </c>
      <c r="I322" s="7">
        <v>0.32653861699999998</v>
      </c>
      <c r="J322" s="7">
        <v>0.38541514199999999</v>
      </c>
      <c r="K322" s="58">
        <v>190</v>
      </c>
      <c r="L322" s="33">
        <v>1</v>
      </c>
      <c r="M322" s="33">
        <f t="shared" si="43"/>
        <v>77.224916190000002</v>
      </c>
      <c r="N322" s="33">
        <f t="shared" si="42"/>
        <v>974.83969729826742</v>
      </c>
      <c r="O322">
        <f t="shared" si="39"/>
        <v>58.490381837896052</v>
      </c>
      <c r="P322">
        <f t="shared" si="40"/>
        <v>58.490381837896052</v>
      </c>
      <c r="R322" s="33">
        <f>N322+Qy!R354</f>
        <v>1245.498089505106</v>
      </c>
      <c r="AM322" s="79"/>
      <c r="AS322" s="78"/>
    </row>
    <row r="323" spans="1:108" s="33" customFormat="1">
      <c r="A323" s="45"/>
      <c r="AM323" s="79"/>
      <c r="AS323" s="78"/>
    </row>
    <row r="324" spans="1:108">
      <c r="AM324" s="79"/>
      <c r="AS324" s="78"/>
      <c r="BL324" s="34"/>
      <c r="BO324" s="34"/>
      <c r="CO324" s="62"/>
      <c r="DA324" s="34"/>
      <c r="DD324" s="34"/>
    </row>
    <row r="325" spans="1:108">
      <c r="AM325" s="79"/>
      <c r="AS325" s="78"/>
      <c r="CO325" s="62"/>
      <c r="DA325" s="34"/>
      <c r="DD325" s="34"/>
    </row>
    <row r="326" spans="1:108">
      <c r="AM326" s="79"/>
      <c r="AS326" s="78"/>
      <c r="CO326" s="62"/>
    </row>
    <row r="327" spans="1:108">
      <c r="AM327" s="79"/>
      <c r="AS327" s="78"/>
      <c r="BO327" s="62"/>
      <c r="CO327" s="62"/>
    </row>
    <row r="328" spans="1:108">
      <c r="AM328" s="79"/>
      <c r="AS328" s="78"/>
      <c r="BO328" s="62"/>
    </row>
    <row r="329" spans="1:108">
      <c r="AM329" s="79"/>
      <c r="AS329" s="78"/>
    </row>
    <row r="330" spans="1:108">
      <c r="AM330" s="79"/>
      <c r="AS330" s="78"/>
    </row>
    <row r="331" spans="1:108">
      <c r="AM331" s="79"/>
      <c r="AS331" s="78"/>
    </row>
    <row r="332" spans="1:108">
      <c r="AM332" s="79"/>
      <c r="AS332" s="78"/>
    </row>
    <row r="333" spans="1:108">
      <c r="AM333" s="79"/>
      <c r="AS333" s="78"/>
    </row>
    <row r="334" spans="1:108">
      <c r="AM334" s="79"/>
      <c r="AS334" s="78"/>
    </row>
    <row r="335" spans="1:108">
      <c r="AM335" s="79"/>
      <c r="AS335" s="78"/>
    </row>
    <row r="336" spans="1:108">
      <c r="AM336" s="79"/>
      <c r="AS336" s="78"/>
    </row>
    <row r="337" spans="39:45">
      <c r="AM337" s="79"/>
      <c r="AS337" s="78"/>
    </row>
    <row r="338" spans="39:45">
      <c r="AM338" s="79"/>
      <c r="AS338" s="78"/>
    </row>
    <row r="339" spans="39:45">
      <c r="AM339" s="79"/>
      <c r="AS339" s="78"/>
    </row>
    <row r="340" spans="39:45">
      <c r="AM340" s="79"/>
      <c r="AS340" s="78"/>
    </row>
    <row r="341" spans="39:45">
      <c r="AM341" s="79"/>
      <c r="AS341" s="78"/>
    </row>
    <row r="342" spans="39:45">
      <c r="AM342" s="79"/>
      <c r="AS342" s="78"/>
    </row>
    <row r="343" spans="39:45">
      <c r="AM343" s="79"/>
      <c r="AS343" s="78"/>
    </row>
    <row r="344" spans="39:45">
      <c r="AM344" s="79"/>
      <c r="AS344" s="78"/>
    </row>
    <row r="345" spans="39:45">
      <c r="AM345" s="79"/>
      <c r="AS345" s="78"/>
    </row>
    <row r="346" spans="39:45">
      <c r="AM346" s="79"/>
      <c r="AS346" s="78"/>
    </row>
    <row r="347" spans="39:45">
      <c r="AM347" s="79"/>
      <c r="AS347" s="78"/>
    </row>
    <row r="348" spans="39:45">
      <c r="AM348" s="79"/>
      <c r="AS348" s="78"/>
    </row>
    <row r="349" spans="39:45">
      <c r="AM349" s="79"/>
      <c r="AS349" s="78"/>
    </row>
    <row r="350" spans="39:45">
      <c r="AM350" s="79"/>
      <c r="AS350" s="78"/>
    </row>
    <row r="351" spans="39:45">
      <c r="AM351" s="79"/>
      <c r="AS351" s="78"/>
    </row>
    <row r="352" spans="39:45">
      <c r="AM352" s="79"/>
      <c r="AS352" s="78"/>
    </row>
    <row r="353" spans="21:45">
      <c r="AM353" s="79"/>
      <c r="AS353" s="78"/>
    </row>
    <row r="354" spans="21:45">
      <c r="AM354" s="79"/>
      <c r="AS354" s="78"/>
    </row>
    <row r="355" spans="21:45">
      <c r="AM355" s="79"/>
      <c r="AS355" s="78"/>
    </row>
    <row r="356" spans="21:45">
      <c r="AM356" s="79"/>
      <c r="AS356" s="78"/>
    </row>
    <row r="357" spans="21:45">
      <c r="AM357" s="79"/>
      <c r="AS357" s="78"/>
    </row>
    <row r="358" spans="21:45">
      <c r="AM358" s="79"/>
      <c r="AS358" s="78"/>
    </row>
    <row r="359" spans="21:45">
      <c r="AM359" s="79"/>
      <c r="AS359" s="78"/>
    </row>
    <row r="360" spans="21:45">
      <c r="U360" s="59"/>
      <c r="Y360" s="59"/>
      <c r="AC360" s="59"/>
      <c r="AM360" s="79"/>
      <c r="AS360" s="78"/>
    </row>
    <row r="361" spans="21:45">
      <c r="AM361" s="79"/>
      <c r="AS361" s="78"/>
    </row>
    <row r="438" spans="32:37">
      <c r="AF438" s="34"/>
      <c r="AG438" s="34"/>
      <c r="AH438" s="34"/>
      <c r="AI438" s="34"/>
      <c r="AJ438" s="34"/>
      <c r="AK438" s="34"/>
    </row>
    <row r="439" spans="32:37">
      <c r="AF439" s="34"/>
      <c r="AG439" s="34"/>
      <c r="AH439" s="80"/>
      <c r="AI439" s="34"/>
      <c r="AJ439" s="34"/>
      <c r="AK439" s="80"/>
    </row>
    <row r="440" spans="32:37">
      <c r="AF440" s="34"/>
      <c r="AG440" s="34"/>
      <c r="AH440" s="80"/>
      <c r="AI440" s="34"/>
      <c r="AJ440" s="34"/>
      <c r="AK440" s="80"/>
    </row>
    <row r="441" spans="32:37">
      <c r="AF441" s="34"/>
      <c r="AG441" s="34"/>
      <c r="AH441" s="34"/>
      <c r="AI441" s="34"/>
      <c r="AJ441" s="34"/>
      <c r="AK441" s="34"/>
    </row>
    <row r="500" spans="21:29">
      <c r="U500" s="59"/>
      <c r="Y500" s="59"/>
      <c r="AC500" s="59"/>
    </row>
    <row r="542" spans="29:29">
      <c r="AC542" s="59"/>
    </row>
  </sheetData>
  <phoneticPr fontId="16" type="noConversion"/>
  <hyperlinks>
    <hyperlink ref="A3" r:id="rId1" xr:uid="{00000000-0004-0000-0200-000000000000}"/>
    <hyperlink ref="A72" r:id="rId2" xr:uid="{00000000-0004-0000-0200-000001000000}"/>
    <hyperlink ref="A131" r:id="rId3" xr:uid="{00000000-0004-0000-0200-000002000000}"/>
    <hyperlink ref="A175" r:id="rId4" xr:uid="{00000000-0004-0000-0200-000003000000}"/>
    <hyperlink ref="A306" r:id="rId5" xr:uid="{00000000-0004-0000-0200-000004000000}"/>
    <hyperlink ref="A52" r:id="rId6" xr:uid="{00000000-0004-0000-0200-000005000000}"/>
    <hyperlink ref="A68" r:id="rId7" xr:uid="{00000000-0004-0000-0200-000006000000}"/>
    <hyperlink ref="A158" r:id="rId8" xr:uid="{00000000-0004-0000-0200-000007000000}"/>
    <hyperlink ref="A162" r:id="rId9" xr:uid="{00000000-0004-0000-0200-000008000000}"/>
    <hyperlink ref="A149" r:id="rId10" xr:uid="{00000000-0004-0000-0200-000009000000}"/>
    <hyperlink ref="A302" r:id="rId11" xr:uid="{00000000-0004-0000-0200-00000A000000}"/>
    <hyperlink ref="A118" r:id="rId12" xr:uid="{00000000-0004-0000-0200-00000B000000}"/>
    <hyperlink ref="A42" r:id="rId13" xr:uid="{00000000-0004-0000-0200-00000C000000}"/>
    <hyperlink ref="A28" r:id="rId14" xr:uid="{00000000-0004-0000-0200-00000D000000}"/>
    <hyperlink ref="A90" r:id="rId15" xr:uid="{00000000-0004-0000-0200-00000E000000}"/>
    <hyperlink ref="A97" r:id="rId16" xr:uid="{00000000-0004-0000-0200-00000F000000}"/>
    <hyperlink ref="A108" r:id="rId17" xr:uid="{00000000-0004-0000-0200-000010000000}"/>
    <hyperlink ref="A193" r:id="rId18" xr:uid="{00000000-0004-0000-0200-000011000000}"/>
    <hyperlink ref="A243" r:id="rId19" xr:uid="{00000000-0004-0000-0200-000012000000}"/>
    <hyperlink ref="A252" r:id="rId20" xr:uid="{00000000-0004-0000-0200-000013000000}"/>
  </hyperlinks>
  <pageMargins left="0.75" right="0.75" top="1" bottom="1" header="0.5" footer="0.5"/>
  <pageSetup orientation="portrait" horizontalDpi="4294967292" verticalDpi="4294967292"/>
  <drawing r:id="rId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Qy</vt:lpstr>
      <vt:lpstr>Leff @ZF</vt:lpstr>
      <vt:lpstr>Ly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Microsoft Office User</cp:lastModifiedBy>
  <cp:lastPrinted>2018-12-09T22:47:42Z</cp:lastPrinted>
  <dcterms:created xsi:type="dcterms:W3CDTF">2018-11-26T00:32:11Z</dcterms:created>
  <dcterms:modified xsi:type="dcterms:W3CDTF">2020-07-25T15:27:42Z</dcterms:modified>
</cp:coreProperties>
</file>