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bkane_northeastern_edu/Documents/Proposals/2020 DOE WPTO/Example/"/>
    </mc:Choice>
  </mc:AlternateContent>
  <xr:revisionPtr revIDLastSave="192" documentId="11_DFBAD33ACDC5554D498434FE4A0296861D5C9E29" xr6:coauthVersionLast="45" xr6:coauthVersionMax="45" xr10:uidLastSave="{43503A5D-754E-4864-84CB-D233DAA53CD4}"/>
  <bookViews>
    <workbookView xWindow="-98" yWindow="-98" windowWidth="28996" windowHeight="15796" activeTab="1" xr2:uid="{00000000-000D-0000-FFFF-FFFF00000000}"/>
  </bookViews>
  <sheets>
    <sheet name="Example" sheetId="2" r:id="rId1"/>
    <sheet name="Solution" sheetId="1" r:id="rId2"/>
    <sheet name="Solution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H5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H45" i="4" s="1"/>
  <c r="E46" i="4"/>
  <c r="D46" i="4"/>
  <c r="B7" i="4"/>
  <c r="I24" i="4" s="1"/>
  <c r="L4" i="4"/>
  <c r="M4" i="4" s="1"/>
  <c r="K4" i="4"/>
  <c r="H41" i="4" l="1"/>
  <c r="F43" i="4"/>
  <c r="F39" i="4"/>
  <c r="F35" i="4"/>
  <c r="F31" i="4"/>
  <c r="F27" i="4"/>
  <c r="F23" i="4"/>
  <c r="F19" i="4"/>
  <c r="F15" i="4"/>
  <c r="F11" i="4"/>
  <c r="F7" i="4"/>
  <c r="H25" i="4"/>
  <c r="F42" i="4"/>
  <c r="F38" i="4"/>
  <c r="F34" i="4"/>
  <c r="F30" i="4"/>
  <c r="F26" i="4"/>
  <c r="F22" i="4"/>
  <c r="F18" i="4"/>
  <c r="F14" i="4"/>
  <c r="F10" i="4"/>
  <c r="F6" i="4"/>
  <c r="F45" i="4"/>
  <c r="F41" i="4"/>
  <c r="F37" i="4"/>
  <c r="F33" i="4"/>
  <c r="F29" i="4"/>
  <c r="F25" i="4"/>
  <c r="F21" i="4"/>
  <c r="F17" i="4"/>
  <c r="F13" i="4"/>
  <c r="F9" i="4"/>
  <c r="F44" i="4"/>
  <c r="F40" i="4"/>
  <c r="F36" i="4"/>
  <c r="F32" i="4"/>
  <c r="F28" i="4"/>
  <c r="F24" i="4"/>
  <c r="F20" i="4"/>
  <c r="F16" i="4"/>
  <c r="F12" i="4"/>
  <c r="F8" i="4"/>
  <c r="H21" i="4"/>
  <c r="H33" i="4"/>
  <c r="H17" i="4"/>
  <c r="H37" i="4"/>
  <c r="H29" i="4"/>
  <c r="H13" i="4"/>
  <c r="H9" i="4"/>
  <c r="H44" i="4"/>
  <c r="H40" i="4"/>
  <c r="H36" i="4"/>
  <c r="H32" i="4"/>
  <c r="H28" i="4"/>
  <c r="H24" i="4"/>
  <c r="H20" i="4"/>
  <c r="H16" i="4"/>
  <c r="H12" i="4"/>
  <c r="H8" i="4"/>
  <c r="H43" i="4"/>
  <c r="H39" i="4"/>
  <c r="H35" i="4"/>
  <c r="H31" i="4"/>
  <c r="H27" i="4"/>
  <c r="H23" i="4"/>
  <c r="H19" i="4"/>
  <c r="H15" i="4"/>
  <c r="H11" i="4"/>
  <c r="H7" i="4"/>
  <c r="H42" i="4"/>
  <c r="H38" i="4"/>
  <c r="H34" i="4"/>
  <c r="H30" i="4"/>
  <c r="H26" i="4"/>
  <c r="H22" i="4"/>
  <c r="H18" i="4"/>
  <c r="H14" i="4"/>
  <c r="H10" i="4"/>
  <c r="H6" i="4"/>
  <c r="J6" i="4" s="1"/>
  <c r="I6" i="4"/>
  <c r="I45" i="4"/>
  <c r="I40" i="4"/>
  <c r="I26" i="4"/>
  <c r="I42" i="4"/>
  <c r="I34" i="4"/>
  <c r="I29" i="4"/>
  <c r="I25" i="4"/>
  <c r="I5" i="4"/>
  <c r="I9" i="4"/>
  <c r="I44" i="4"/>
  <c r="I38" i="4"/>
  <c r="I31" i="4"/>
  <c r="I28" i="4"/>
  <c r="I11" i="4"/>
  <c r="I14" i="4"/>
  <c r="I7" i="4"/>
  <c r="I37" i="4"/>
  <c r="I30" i="4"/>
  <c r="I27" i="4"/>
  <c r="I8" i="4"/>
  <c r="I13" i="4"/>
  <c r="I41" i="4"/>
  <c r="I36" i="4"/>
  <c r="I33" i="4"/>
  <c r="I43" i="4"/>
  <c r="I39" i="4"/>
  <c r="I35" i="4"/>
  <c r="I32" i="4"/>
  <c r="I15" i="4"/>
  <c r="I19" i="4"/>
  <c r="I23" i="4"/>
  <c r="J5" i="4"/>
  <c r="I12" i="4"/>
  <c r="I18" i="4"/>
  <c r="I22" i="4"/>
  <c r="I17" i="4"/>
  <c r="I21" i="4"/>
  <c r="I10" i="4"/>
  <c r="I16" i="4"/>
  <c r="I20" i="4"/>
  <c r="F5" i="1"/>
  <c r="F46" i="4" l="1"/>
  <c r="I46" i="4"/>
  <c r="J7" i="4"/>
  <c r="L7" i="4" s="1"/>
  <c r="M7" i="4" s="1"/>
  <c r="L5" i="4"/>
  <c r="K5" i="4"/>
  <c r="L6" i="4"/>
  <c r="M6" i="4" s="1"/>
  <c r="K6" i="4"/>
  <c r="J8" i="4"/>
  <c r="B15" i="4" l="1"/>
  <c r="K7" i="4"/>
  <c r="J9" i="4"/>
  <c r="K8" i="4"/>
  <c r="L8" i="4"/>
  <c r="M8" i="4" s="1"/>
  <c r="M5" i="4"/>
  <c r="J4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 l="1"/>
  <c r="L9" i="4"/>
  <c r="M9" i="4" s="1"/>
  <c r="K9" i="4"/>
  <c r="J11" i="4" l="1"/>
  <c r="E25" i="1"/>
  <c r="D25" i="1"/>
  <c r="E25" i="2"/>
  <c r="D25" i="2"/>
  <c r="G25" i="2"/>
  <c r="K4" i="1"/>
  <c r="L4" i="1" s="1"/>
  <c r="B7" i="1"/>
  <c r="G5" i="1"/>
  <c r="I25" i="2"/>
  <c r="H25" i="2"/>
  <c r="I5" i="1" l="1"/>
  <c r="J5" i="1" s="1"/>
  <c r="G6" i="1"/>
  <c r="G7" i="1" s="1"/>
  <c r="G8" i="1" s="1"/>
  <c r="H5" i="1"/>
  <c r="H9" i="1"/>
  <c r="H13" i="1"/>
  <c r="H17" i="1"/>
  <c r="H21" i="1"/>
  <c r="H11" i="1"/>
  <c r="H15" i="1"/>
  <c r="H23" i="1"/>
  <c r="H8" i="1"/>
  <c r="H12" i="1"/>
  <c r="H16" i="1"/>
  <c r="H20" i="1"/>
  <c r="H24" i="1"/>
  <c r="H6" i="1"/>
  <c r="H10" i="1"/>
  <c r="H14" i="1"/>
  <c r="H18" i="1"/>
  <c r="H22" i="1"/>
  <c r="H7" i="1"/>
  <c r="H19" i="1"/>
  <c r="J12" i="4"/>
  <c r="L11" i="4"/>
  <c r="M11" i="4" s="1"/>
  <c r="K11" i="4"/>
  <c r="K5" i="1" l="1"/>
  <c r="L5" i="1" s="1"/>
  <c r="I6" i="1"/>
  <c r="K6" i="1" s="1"/>
  <c r="L6" i="1" s="1"/>
  <c r="I7" i="1"/>
  <c r="K7" i="1" s="1"/>
  <c r="L7" i="1" s="1"/>
  <c r="H25" i="1"/>
  <c r="B16" i="1" s="1"/>
  <c r="K12" i="4"/>
  <c r="L12" i="4"/>
  <c r="M12" i="4" s="1"/>
  <c r="J13" i="4"/>
  <c r="G9" i="1"/>
  <c r="I8" i="1"/>
  <c r="B15" i="1" l="1"/>
  <c r="J6" i="1"/>
  <c r="J7" i="1"/>
  <c r="K8" i="1"/>
  <c r="L8" i="1" s="1"/>
  <c r="J8" i="1"/>
  <c r="J14" i="4"/>
  <c r="L13" i="4"/>
  <c r="M13" i="4" s="1"/>
  <c r="K13" i="4"/>
  <c r="G10" i="1"/>
  <c r="I9" i="1"/>
  <c r="K9" i="1" l="1"/>
  <c r="L9" i="1" s="1"/>
  <c r="J9" i="1"/>
  <c r="L14" i="4"/>
  <c r="M14" i="4" s="1"/>
  <c r="K14" i="4"/>
  <c r="J15" i="4"/>
  <c r="G11" i="1"/>
  <c r="I10" i="1"/>
  <c r="K10" i="1" l="1"/>
  <c r="L10" i="1" s="1"/>
  <c r="J10" i="1"/>
  <c r="L15" i="4"/>
  <c r="M15" i="4" s="1"/>
  <c r="K15" i="4"/>
  <c r="J16" i="4"/>
  <c r="G12" i="1"/>
  <c r="I11" i="1"/>
  <c r="J11" i="1" s="1"/>
  <c r="J17" i="4" l="1"/>
  <c r="L16" i="4"/>
  <c r="M16" i="4" s="1"/>
  <c r="K16" i="4"/>
  <c r="K11" i="1"/>
  <c r="G13" i="1"/>
  <c r="I12" i="1"/>
  <c r="K12" i="1" l="1"/>
  <c r="L12" i="1" s="1"/>
  <c r="J12" i="1"/>
  <c r="L17" i="4"/>
  <c r="M17" i="4" s="1"/>
  <c r="K17" i="4"/>
  <c r="J18" i="4"/>
  <c r="G14" i="1"/>
  <c r="I13" i="1"/>
  <c r="L11" i="1"/>
  <c r="K13" i="1" l="1"/>
  <c r="L13" i="1" s="1"/>
  <c r="J13" i="1"/>
  <c r="J19" i="4"/>
  <c r="K18" i="4"/>
  <c r="L18" i="4"/>
  <c r="M18" i="4" s="1"/>
  <c r="G15" i="1"/>
  <c r="I14" i="1"/>
  <c r="K14" i="1" l="1"/>
  <c r="J14" i="1"/>
  <c r="L19" i="4"/>
  <c r="M19" i="4" s="1"/>
  <c r="K19" i="4"/>
  <c r="J20" i="4"/>
  <c r="G16" i="1"/>
  <c r="I15" i="1"/>
  <c r="L14" i="1"/>
  <c r="K15" i="1" l="1"/>
  <c r="L15" i="1" s="1"/>
  <c r="J15" i="1"/>
  <c r="J21" i="4"/>
  <c r="L20" i="4"/>
  <c r="M20" i="4" s="1"/>
  <c r="K20" i="4"/>
  <c r="G17" i="1"/>
  <c r="I16" i="1"/>
  <c r="K16" i="1" l="1"/>
  <c r="L16" i="1" s="1"/>
  <c r="J16" i="1"/>
  <c r="L21" i="4"/>
  <c r="M21" i="4" s="1"/>
  <c r="K21" i="4"/>
  <c r="J22" i="4"/>
  <c r="G18" i="1"/>
  <c r="I17" i="1"/>
  <c r="K17" i="1" l="1"/>
  <c r="L17" i="1" s="1"/>
  <c r="J17" i="1"/>
  <c r="K22" i="4"/>
  <c r="L22" i="4"/>
  <c r="M22" i="4" s="1"/>
  <c r="J23" i="4"/>
  <c r="G19" i="1"/>
  <c r="I18" i="1"/>
  <c r="J25" i="4" l="1"/>
  <c r="L25" i="4" s="1"/>
  <c r="M25" i="4" s="1"/>
  <c r="K18" i="1"/>
  <c r="L18" i="1" s="1"/>
  <c r="J18" i="1"/>
  <c r="J24" i="4"/>
  <c r="L24" i="4" s="1"/>
  <c r="L23" i="4"/>
  <c r="M23" i="4" s="1"/>
  <c r="K23" i="4"/>
  <c r="G20" i="1"/>
  <c r="I19" i="1"/>
  <c r="J26" i="4" l="1"/>
  <c r="L26" i="4" s="1"/>
  <c r="M26" i="4" s="1"/>
  <c r="K24" i="4"/>
  <c r="K25" i="4"/>
  <c r="K19" i="1"/>
  <c r="L19" i="1" s="1"/>
  <c r="J19" i="1"/>
  <c r="M24" i="4"/>
  <c r="G21" i="1"/>
  <c r="I20" i="1"/>
  <c r="J27" i="4" l="1"/>
  <c r="L27" i="4" s="1"/>
  <c r="M27" i="4" s="1"/>
  <c r="K26" i="4"/>
  <c r="K20" i="1"/>
  <c r="L20" i="1" s="1"/>
  <c r="J20" i="1"/>
  <c r="G22" i="1"/>
  <c r="I21" i="1"/>
  <c r="J28" i="4" l="1"/>
  <c r="L28" i="4" s="1"/>
  <c r="M28" i="4" s="1"/>
  <c r="K27" i="4"/>
  <c r="K21" i="1"/>
  <c r="L21" i="1" s="1"/>
  <c r="J21" i="1"/>
  <c r="G23" i="1"/>
  <c r="I22" i="1"/>
  <c r="J29" i="4" l="1"/>
  <c r="K28" i="4"/>
  <c r="K22" i="1"/>
  <c r="L22" i="1" s="1"/>
  <c r="J22" i="1"/>
  <c r="G24" i="1"/>
  <c r="I24" i="1" s="1"/>
  <c r="J24" i="1" s="1"/>
  <c r="I23" i="1"/>
  <c r="K29" i="4" l="1"/>
  <c r="L29" i="4"/>
  <c r="M29" i="4" s="1"/>
  <c r="J30" i="4"/>
  <c r="L30" i="4" s="1"/>
  <c r="M30" i="4" s="1"/>
  <c r="K23" i="1"/>
  <c r="L23" i="1" s="1"/>
  <c r="J23" i="1"/>
  <c r="J25" i="1" s="1"/>
  <c r="K24" i="1"/>
  <c r="I25" i="1"/>
  <c r="K30" i="4" l="1"/>
  <c r="J31" i="4"/>
  <c r="L31" i="4" s="1"/>
  <c r="M31" i="4" s="1"/>
  <c r="L24" i="1"/>
  <c r="L25" i="1" s="1"/>
  <c r="B14" i="1" s="1"/>
  <c r="K25" i="1"/>
  <c r="J32" i="4" l="1"/>
  <c r="L32" i="4" s="1"/>
  <c r="M32" i="4" s="1"/>
  <c r="K31" i="4"/>
  <c r="K32" i="4" l="1"/>
  <c r="J33" i="4"/>
  <c r="L33" i="4" s="1"/>
  <c r="M33" i="4" s="1"/>
  <c r="K33" i="4" l="1"/>
  <c r="J34" i="4"/>
  <c r="L34" i="4" s="1"/>
  <c r="M34" i="4" s="1"/>
  <c r="K34" i="4" l="1"/>
  <c r="J35" i="4"/>
  <c r="L35" i="4" s="1"/>
  <c r="M35" i="4" s="1"/>
  <c r="K35" i="4" l="1"/>
  <c r="J36" i="4"/>
  <c r="L36" i="4" s="1"/>
  <c r="M36" i="4" s="1"/>
  <c r="J37" i="4" l="1"/>
  <c r="L37" i="4" s="1"/>
  <c r="M37" i="4" s="1"/>
  <c r="K36" i="4"/>
  <c r="K37" i="4" l="1"/>
  <c r="J38" i="4"/>
  <c r="L38" i="4" s="1"/>
  <c r="M38" i="4" s="1"/>
  <c r="K38" i="4" l="1"/>
  <c r="J39" i="4"/>
  <c r="L39" i="4" s="1"/>
  <c r="M39" i="4" s="1"/>
  <c r="K39" i="4" l="1"/>
  <c r="J40" i="4"/>
  <c r="L40" i="4" s="1"/>
  <c r="M40" i="4" s="1"/>
  <c r="K40" i="4" l="1"/>
  <c r="J41" i="4"/>
  <c r="L41" i="4" s="1"/>
  <c r="M41" i="4" s="1"/>
  <c r="K41" i="4" l="1"/>
  <c r="J42" i="4"/>
  <c r="L42" i="4" s="1"/>
  <c r="M42" i="4" s="1"/>
  <c r="K42" i="4" l="1"/>
  <c r="J43" i="4"/>
  <c r="L43" i="4" s="1"/>
  <c r="M43" i="4" s="1"/>
  <c r="J45" i="4" l="1"/>
  <c r="L45" i="4" s="1"/>
  <c r="M45" i="4" s="1"/>
  <c r="J44" i="4"/>
  <c r="L44" i="4" s="1"/>
  <c r="M44" i="4" s="1"/>
  <c r="K43" i="4"/>
  <c r="K44" i="4" l="1"/>
  <c r="K45" i="4"/>
  <c r="J10" i="4"/>
  <c r="L10" i="4" s="1"/>
  <c r="K10" i="4" l="1"/>
  <c r="K46" i="4" s="1"/>
  <c r="J46" i="4"/>
  <c r="L46" i="4"/>
  <c r="M10" i="4"/>
  <c r="M46" i="4" s="1"/>
  <c r="B14" i="4" s="1"/>
</calcChain>
</file>

<file path=xl/sharedStrings.xml><?xml version="1.0" encoding="utf-8"?>
<sst xmlns="http://schemas.openxmlformats.org/spreadsheetml/2006/main" count="59" uniqueCount="22">
  <si>
    <t>Deepwater Wind Project Finance Sheet</t>
  </si>
  <si>
    <t>GE 3300</t>
  </si>
  <si>
    <t>Generation Capacity</t>
  </si>
  <si>
    <t>Capacity Factor</t>
  </si>
  <si>
    <t>Annual Generation</t>
  </si>
  <si>
    <t>Hours per year</t>
  </si>
  <si>
    <t>Year</t>
  </si>
  <si>
    <t>Costs</t>
  </si>
  <si>
    <t>Revenues</t>
  </si>
  <si>
    <t>Initial Electricity Price</t>
  </si>
  <si>
    <t>Price Escalation Rate</t>
  </si>
  <si>
    <t>Price per kWh</t>
  </si>
  <si>
    <t>Discount Rate</t>
  </si>
  <si>
    <t>Net Nominal Cash Flow</t>
  </si>
  <si>
    <t>Net Discounted Cash Flow</t>
  </si>
  <si>
    <t>Net Present Value</t>
  </si>
  <si>
    <t>LCOE</t>
  </si>
  <si>
    <t>Discounted Costs</t>
  </si>
  <si>
    <t>Discounted Revenues</t>
  </si>
  <si>
    <t>Generation (kWh)</t>
  </si>
  <si>
    <t>Escalation</t>
  </si>
  <si>
    <t>Simple 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</si>
</sst>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&quot; MW&quot;"/>
    <numFmt numFmtId="165" formatCode="0.00E+00&quot; kWh/yr&quot;"/>
    <numFmt numFmtId="166" formatCode="_(&quot;$&quot;* #,##0.00_)&quot; per kWh&quot;;_(&quot;$&quot;* \(#,##0.00\)&quot; per kWh&quot;;_(&quot;$&quot;* &quot;-&quot;??_)&quot; per kWh&quot;;_(@_)&quot; per kWh&quot;"/>
    <numFmt numFmtId="167" formatCode="&quot;$&quot;#,##0.000_);[Red]\(&quot;$&quot;#,##0.000\)"/>
    <numFmt numFmtId="168" formatCode="&quot;$&quot;\ 0.00&quot; / kWh&quot;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  <xf numFmtId="0" fontId="5" fillId="3" borderId="1" applyNumberFormat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2" xfId="0" applyBorder="1"/>
    <xf numFmtId="164" fontId="3" fillId="2" borderId="3" xfId="2" applyNumberFormat="1" applyBorder="1"/>
    <xf numFmtId="0" fontId="0" fillId="0" borderId="4" xfId="0" applyBorder="1"/>
    <xf numFmtId="9" fontId="3" fillId="2" borderId="5" xfId="2" applyNumberFormat="1" applyBorder="1"/>
    <xf numFmtId="1" fontId="3" fillId="2" borderId="5" xfId="2" applyNumberFormat="1" applyBorder="1"/>
    <xf numFmtId="0" fontId="0" fillId="0" borderId="6" xfId="0" applyBorder="1"/>
    <xf numFmtId="165" fontId="5" fillId="3" borderId="7" xfId="3" applyNumberFormat="1" applyBorder="1"/>
    <xf numFmtId="166" fontId="3" fillId="2" borderId="3" xfId="2" applyNumberFormat="1" applyBorder="1"/>
    <xf numFmtId="10" fontId="3" fillId="2" borderId="7" xfId="2" applyNumberFormat="1" applyBorder="1"/>
    <xf numFmtId="0" fontId="0" fillId="0" borderId="8" xfId="0" applyBorder="1"/>
    <xf numFmtId="10" fontId="3" fillId="2" borderId="9" xfId="2" applyNumberFormat="1" applyBorder="1"/>
    <xf numFmtId="44" fontId="4" fillId="3" borderId="10" xfId="1" applyFont="1" applyFill="1" applyBorder="1"/>
    <xf numFmtId="44" fontId="4" fillId="3" borderId="11" xfId="1" applyNumberFormat="1" applyFont="1" applyFill="1" applyBorder="1"/>
    <xf numFmtId="8" fontId="3" fillId="2" borderId="1" xfId="1" applyNumberFormat="1" applyFont="1" applyFill="1" applyBorder="1"/>
    <xf numFmtId="8" fontId="3" fillId="2" borderId="1" xfId="2" applyNumberFormat="1"/>
    <xf numFmtId="8" fontId="0" fillId="0" borderId="0" xfId="1" applyNumberFormat="1" applyFont="1"/>
    <xf numFmtId="8" fontId="5" fillId="3" borderId="1" xfId="3" applyNumberFormat="1"/>
    <xf numFmtId="8" fontId="0" fillId="0" borderId="0" xfId="0" applyNumberFormat="1" applyFont="1"/>
    <xf numFmtId="8" fontId="1" fillId="0" borderId="0" xfId="0" applyNumberFormat="1" applyFont="1"/>
    <xf numFmtId="167" fontId="5" fillId="3" borderId="1" xfId="3" applyNumberFormat="1"/>
    <xf numFmtId="168" fontId="4" fillId="3" borderId="11" xfId="1" applyNumberFormat="1" applyFont="1" applyFill="1" applyBorder="1"/>
    <xf numFmtId="169" fontId="0" fillId="0" borderId="0" xfId="4" applyNumberFormat="1" applyFont="1"/>
    <xf numFmtId="169" fontId="5" fillId="3" borderId="1" xfId="4" applyNumberFormat="1" applyFont="1" applyFill="1" applyBorder="1"/>
    <xf numFmtId="169" fontId="5" fillId="3" borderId="0" xfId="4" applyNumberFormat="1" applyFont="1" applyFill="1" applyBorder="1"/>
    <xf numFmtId="169" fontId="0" fillId="0" borderId="0" xfId="0" applyNumberFormat="1" applyFont="1"/>
    <xf numFmtId="10" fontId="5" fillId="3" borderId="1" xfId="3" applyNumberFormat="1"/>
    <xf numFmtId="0" fontId="0" fillId="0" borderId="0" xfId="0" applyFill="1" applyBorder="1"/>
  </cellXfs>
  <cellStyles count="5">
    <cellStyle name="Calculation" xfId="3" builtinId="22"/>
    <cellStyle name="Comma" xfId="4" builtinId="3"/>
    <cellStyle name="Currency" xfId="1" builtinId="4"/>
    <cellStyle name="Input" xfId="2" builtinId="20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_);_(* \(#,##0\);_(* &quot;-&quot;??_);_(@_)"/>
    </dxf>
    <dxf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_);_(* \(#,##0\);_(* &quot;-&quot;??_);_(@_)"/>
    </dxf>
    <dxf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3155E-0F0F-4852-916F-0DD149EADBCD}" name="Table13" displayName="Table13" ref="D3:I25" totalsRowCount="1" dataDxfId="46" dataCellStyle="Currency">
  <autoFilter ref="D3:I24" xr:uid="{261AEE25-24B0-4F71-B0A1-05760DFC54B0}"/>
  <tableColumns count="6">
    <tableColumn id="1" xr3:uid="{376B66D4-4C4A-404D-BD89-CF1BB1789D12}" name="Year" totalsRowFunction="max"/>
    <tableColumn id="2" xr3:uid="{58966D85-D5D8-4ECB-B6F7-C12BF7AACBE5}" name="Costs" totalsRowFunction="sum" dataDxfId="45" totalsRowDxfId="44" dataCellStyle="Input"/>
    <tableColumn id="3" xr3:uid="{CCA2A0C0-07D1-4C43-B769-152EA90EB002}" name="Price per kWh" dataDxfId="43" totalsRowDxfId="42" dataCellStyle="Currency"/>
    <tableColumn id="4" xr3:uid="{00E5D840-9EBC-4C2B-A854-91447D80ED28}" name="Revenues" totalsRowFunction="sum" dataDxfId="41" totalsRowDxfId="40" dataCellStyle="Currency"/>
    <tableColumn id="5" xr3:uid="{C567349D-2C60-4460-BA74-EC9371AF31F4}" name="Net Nominal Cash Flow" totalsRowFunction="sum" dataDxfId="39" totalsRowDxfId="38" dataCellStyle="Currency"/>
    <tableColumn id="6" xr3:uid="{C94E7E10-7BD8-4839-8CC0-FC70129F483D}" name="Net Discounted Cash Flow" totalsRowFunction="sum" dataDxfId="37" totalsRowDxfId="3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A3078-5DF7-4781-8C00-1A38B2CE78E9}" name="Table1" displayName="Table1" ref="D3:L25" totalsRowCount="1" dataDxfId="35" dataCellStyle="Currency">
  <autoFilter ref="D3:L24" xr:uid="{261AEE25-24B0-4F71-B0A1-05760DFC54B0}"/>
  <tableColumns count="9">
    <tableColumn id="1" xr3:uid="{5FAD0C89-974A-449A-9F66-772DE1B90B40}" name="Year" totalsRowFunction="max"/>
    <tableColumn id="2" xr3:uid="{B50DEA81-118F-40ED-8A50-FFD1CDE501C4}" name="Costs" totalsRowFunction="sum" dataDxfId="33" totalsRowDxfId="32" dataCellStyle="Input"/>
    <tableColumn id="7" xr3:uid="{FCA66DD4-C220-40C5-85C9-BBC3A6934FB3}" name="Discounted Costs" totalsRowFunction="sum" dataDxfId="31" totalsRowDxfId="30" dataCellStyle="Calculation">
      <calculatedColumnFormula>E4/(1+$B$12)^Table1[[#This Row],[Year]]</calculatedColumnFormula>
    </tableColumn>
    <tableColumn id="3" xr3:uid="{17681447-9EC5-4DC9-9625-4FDFC2979921}" name="Price per kWh" dataDxfId="29" totalsRowDxfId="28" dataCellStyle="Currency">
      <calculatedColumnFormula>G3*(1+$B$10)</calculatedColumnFormula>
    </tableColumn>
    <tableColumn id="9" xr3:uid="{734E943C-E8D5-49A2-A6BD-019178B859D9}" name="Generation (kWh)" totalsRowFunction="sum" dataDxfId="27" totalsRowDxfId="26" dataCellStyle="Comma" totalsRowCellStyle="Comma">
      <calculatedColumnFormula>$B$7</calculatedColumnFormula>
    </tableColumn>
    <tableColumn id="4" xr3:uid="{F975E19C-4A7F-4B68-9EF7-901CD1EFF1A8}" name="Revenues" totalsRowFunction="sum" dataDxfId="25" totalsRowDxfId="24" dataCellStyle="Currency">
      <calculatedColumnFormula>$B$7*G4</calculatedColumnFormula>
    </tableColumn>
    <tableColumn id="8" xr3:uid="{AB44D39D-0A50-4805-9840-6375F80278CD}" name="Discounted Revenues" totalsRowFunction="sum" dataDxfId="23" totalsRowDxfId="22" dataCellStyle="Calculation">
      <calculatedColumnFormula>I4/(1+$B$12)^Table1[[#This Row],[Year]]</calculatedColumnFormula>
    </tableColumn>
    <tableColumn id="5" xr3:uid="{2F6EBCC4-F674-472B-8298-A03BCDAE8A79}" name="Net Nominal Cash Flow" totalsRowFunction="sum" dataDxfId="21" totalsRowDxfId="20" dataCellStyle="Currency">
      <calculatedColumnFormula>I4+E4</calculatedColumnFormula>
    </tableColumn>
    <tableColumn id="6" xr3:uid="{EB656D7F-8FEF-44E8-A0C4-CB24230D01B6}" name="Net Discounted Cash Flow" totalsRowFunction="sum" dataDxfId="19" totalsRowDxfId="18" dataCellStyle="Currency">
      <calculatedColumnFormula>K4/(1+$B$12)^D4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A0712-76A6-4626-ACAA-76FA92C9238B}" name="Table14" displayName="Table14" ref="D3:M46" totalsRowCount="1" dataDxfId="34" dataCellStyle="Currency">
  <autoFilter ref="D3:M45" xr:uid="{261AEE25-24B0-4F71-B0A1-05760DFC54B0}"/>
  <tableColumns count="10">
    <tableColumn id="1" xr3:uid="{338993A2-7CCE-4A43-A116-587293235E8E}" name="Year" totalsRowFunction="max"/>
    <tableColumn id="2" xr3:uid="{81CFA97B-259C-404F-B95C-29D18C07D97A}" name="Costs" totalsRowFunction="sum" dataDxfId="17" totalsRowDxfId="16" dataCellStyle="Input"/>
    <tableColumn id="7" xr3:uid="{CF67B536-E33F-4640-9F8B-1A0253B80475}" name="Discounted Costs" totalsRowFunction="sum" dataDxfId="15" totalsRowDxfId="14" dataCellStyle="Calculation">
      <calculatedColumnFormula>Table14[[#This Row],[Costs]]*Table14[[#This Row],[Escalation]]/(1+$B$12)^Table14[[#This Row],[Year]]</calculatedColumnFormula>
    </tableColumn>
    <tableColumn id="10" xr3:uid="{8E371451-2FF3-4400-98ED-28306C1C5333}" name="Escalation" dataDxfId="13" totalsRowDxfId="12" dataCellStyle="Calculation">
      <calculatedColumnFormula>(1+$B$10)</calculatedColumnFormula>
    </tableColumn>
    <tableColumn id="3" xr3:uid="{E29D6012-2C00-4720-93D3-7E76DD8D446B}" name="Price per kWh" dataDxfId="11" totalsRowDxfId="10" dataCellStyle="Currency">
      <calculatedColumnFormula>H3*(1+$B$10)</calculatedColumnFormula>
    </tableColumn>
    <tableColumn id="9" xr3:uid="{01F9D6B8-9FF3-44D7-A43A-FA7207FD84DF}" name="Generation (kWh)" totalsRowFunction="sum" dataDxfId="9" totalsRowDxfId="8" dataCellStyle="Comma">
      <calculatedColumnFormula>$B$7</calculatedColumnFormula>
    </tableColumn>
    <tableColumn id="4" xr3:uid="{80764EDD-C4E9-43EB-9ED6-E76732F4943D}" name="Revenues" totalsRowFunction="sum" dataDxfId="7" totalsRowDxfId="6" dataCellStyle="Currency">
      <calculatedColumnFormula>$B$7*H4</calculatedColumnFormula>
    </tableColumn>
    <tableColumn id="8" xr3:uid="{D3D5AECC-881A-4020-8BF2-3F4674962855}" name="Discounted Revenues" totalsRowFunction="sum" dataDxfId="5" totalsRowDxfId="4" dataCellStyle="Calculation">
      <calculatedColumnFormula>J4/(1+$B$12)^Table14[[#This Row],[Year]]</calculatedColumnFormula>
    </tableColumn>
    <tableColumn id="5" xr3:uid="{C5575C69-D77D-45D2-89A5-0EA27FDF7F6F}" name="Net Nominal Cash Flow" totalsRowFunction="sum" dataDxfId="3" totalsRowDxfId="2" dataCellStyle="Currency">
      <calculatedColumnFormula>J4+E4</calculatedColumnFormula>
    </tableColumn>
    <tableColumn id="6" xr3:uid="{AB2DC086-D355-4DF2-A33C-4F4AED41A6A9}" name="Net Discounted Cash Flow" totalsRowFunction="sum" dataDxfId="1" totalsRowDxfId="0" dataCellStyle="Currency">
      <calculatedColumnFormula>L4/(1+$B$12)^D4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651A-C7F2-40C1-A990-1491D00B568C}">
  <dimension ref="A1:I26"/>
  <sheetViews>
    <sheetView workbookViewId="0">
      <selection activeCell="B12" sqref="B12"/>
    </sheetView>
  </sheetViews>
  <sheetFormatPr defaultRowHeight="14.25" x14ac:dyDescent="0.45"/>
  <cols>
    <col min="1" max="1" width="21.3984375" customWidth="1"/>
    <col min="2" max="2" width="15.86328125" bestFit="1" customWidth="1"/>
    <col min="3" max="3" width="3.46484375" customWidth="1"/>
    <col min="5" max="5" width="16.9296875" bestFit="1" customWidth="1"/>
    <col min="6" max="6" width="14.3984375" customWidth="1"/>
    <col min="7" max="7" width="16.265625" bestFit="1" customWidth="1"/>
    <col min="8" max="8" width="22.06640625" customWidth="1"/>
    <col min="9" max="9" width="25.3984375" style="2" customWidth="1"/>
  </cols>
  <sheetData>
    <row r="1" spans="1:9" x14ac:dyDescent="0.45">
      <c r="A1" s="1" t="s">
        <v>0</v>
      </c>
    </row>
    <row r="2" spans="1:9" x14ac:dyDescent="0.45">
      <c r="A2" s="1" t="s">
        <v>1</v>
      </c>
    </row>
    <row r="3" spans="1:9" ht="14.65" thickBot="1" x14ac:dyDescent="0.5">
      <c r="D3" t="s">
        <v>6</v>
      </c>
      <c r="E3" t="s">
        <v>7</v>
      </c>
      <c r="F3" t="s">
        <v>11</v>
      </c>
      <c r="G3" t="s">
        <v>8</v>
      </c>
      <c r="H3" t="s">
        <v>13</v>
      </c>
      <c r="I3" s="2" t="s">
        <v>14</v>
      </c>
    </row>
    <row r="4" spans="1:9" x14ac:dyDescent="0.45">
      <c r="A4" s="3" t="s">
        <v>2</v>
      </c>
      <c r="B4" s="4"/>
      <c r="D4">
        <v>0</v>
      </c>
      <c r="E4" s="17"/>
      <c r="F4" s="18"/>
      <c r="G4" s="18"/>
      <c r="H4" s="19"/>
      <c r="I4" s="19"/>
    </row>
    <row r="5" spans="1:9" x14ac:dyDescent="0.45">
      <c r="A5" s="5" t="s">
        <v>3</v>
      </c>
      <c r="B5" s="6"/>
      <c r="D5">
        <v>1</v>
      </c>
      <c r="E5" s="17"/>
      <c r="F5" s="19"/>
      <c r="G5" s="19"/>
      <c r="H5" s="19"/>
      <c r="I5" s="19"/>
    </row>
    <row r="6" spans="1:9" x14ac:dyDescent="0.45">
      <c r="A6" s="5" t="s">
        <v>5</v>
      </c>
      <c r="B6" s="7"/>
      <c r="D6">
        <v>2</v>
      </c>
      <c r="E6" s="16"/>
      <c r="F6" s="19"/>
      <c r="G6" s="19"/>
      <c r="H6" s="19"/>
      <c r="I6" s="19"/>
    </row>
    <row r="7" spans="1:9" ht="14.65" thickBot="1" x14ac:dyDescent="0.5">
      <c r="A7" s="8" t="s">
        <v>4</v>
      </c>
      <c r="B7" s="9"/>
      <c r="D7">
        <v>3</v>
      </c>
      <c r="E7" s="17"/>
      <c r="F7" s="19"/>
      <c r="G7" s="19"/>
      <c r="H7" s="19"/>
      <c r="I7" s="19"/>
    </row>
    <row r="8" spans="1:9" ht="14.65" thickBot="1" x14ac:dyDescent="0.5">
      <c r="D8">
        <v>4</v>
      </c>
      <c r="E8" s="17"/>
      <c r="F8" s="19"/>
      <c r="G8" s="19"/>
      <c r="H8" s="19"/>
      <c r="I8" s="19"/>
    </row>
    <row r="9" spans="1:9" x14ac:dyDescent="0.45">
      <c r="A9" s="3" t="s">
        <v>9</v>
      </c>
      <c r="B9" s="10"/>
      <c r="D9">
        <v>5</v>
      </c>
      <c r="E9" s="17"/>
      <c r="F9" s="19"/>
      <c r="G9" s="19"/>
      <c r="H9" s="19"/>
      <c r="I9" s="19"/>
    </row>
    <row r="10" spans="1:9" ht="14.65" thickBot="1" x14ac:dyDescent="0.5">
      <c r="A10" s="8" t="s">
        <v>10</v>
      </c>
      <c r="B10" s="11"/>
      <c r="D10">
        <v>6</v>
      </c>
      <c r="E10" s="17"/>
      <c r="F10" s="19"/>
      <c r="G10" s="19"/>
      <c r="H10" s="19"/>
      <c r="I10" s="19"/>
    </row>
    <row r="11" spans="1:9" ht="14.65" thickBot="1" x14ac:dyDescent="0.5">
      <c r="D11">
        <v>7</v>
      </c>
      <c r="E11" s="17"/>
      <c r="F11" s="19"/>
      <c r="G11" s="19"/>
      <c r="H11" s="19"/>
      <c r="I11" s="19"/>
    </row>
    <row r="12" spans="1:9" ht="14.65" thickBot="1" x14ac:dyDescent="0.5">
      <c r="A12" s="12" t="s">
        <v>12</v>
      </c>
      <c r="B12" s="13"/>
      <c r="D12">
        <v>8</v>
      </c>
      <c r="E12" s="17"/>
      <c r="F12" s="19"/>
      <c r="G12" s="19"/>
      <c r="H12" s="19"/>
      <c r="I12" s="19"/>
    </row>
    <row r="13" spans="1:9" ht="14.65" thickBot="1" x14ac:dyDescent="0.5">
      <c r="D13">
        <v>9</v>
      </c>
      <c r="E13" s="17"/>
      <c r="F13" s="19"/>
      <c r="G13" s="19"/>
      <c r="H13" s="19"/>
      <c r="I13" s="19"/>
    </row>
    <row r="14" spans="1:9" x14ac:dyDescent="0.45">
      <c r="A14" s="3" t="s">
        <v>15</v>
      </c>
      <c r="B14" s="14"/>
      <c r="D14">
        <v>10</v>
      </c>
      <c r="E14" s="17"/>
      <c r="F14" s="19"/>
      <c r="G14" s="19"/>
      <c r="H14" s="19"/>
      <c r="I14" s="19"/>
    </row>
    <row r="15" spans="1:9" ht="14.65" thickBot="1" x14ac:dyDescent="0.5">
      <c r="A15" s="8" t="s">
        <v>16</v>
      </c>
      <c r="B15" s="15"/>
      <c r="D15">
        <v>11</v>
      </c>
      <c r="E15" s="17"/>
      <c r="F15" s="19"/>
      <c r="G15" s="19"/>
      <c r="H15" s="19"/>
      <c r="I15" s="19"/>
    </row>
    <row r="16" spans="1:9" x14ac:dyDescent="0.45">
      <c r="D16">
        <v>12</v>
      </c>
      <c r="E16" s="17"/>
      <c r="F16" s="19"/>
      <c r="G16" s="19"/>
      <c r="H16" s="19"/>
      <c r="I16" s="19"/>
    </row>
    <row r="17" spans="4:9" x14ac:dyDescent="0.45">
      <c r="D17">
        <v>13</v>
      </c>
      <c r="E17" s="17"/>
      <c r="F17" s="19"/>
      <c r="G17" s="19"/>
      <c r="H17" s="19"/>
      <c r="I17" s="19"/>
    </row>
    <row r="18" spans="4:9" x14ac:dyDescent="0.45">
      <c r="D18">
        <v>14</v>
      </c>
      <c r="E18" s="17"/>
      <c r="F18" s="19"/>
      <c r="G18" s="19"/>
      <c r="H18" s="19"/>
      <c r="I18" s="19"/>
    </row>
    <row r="19" spans="4:9" x14ac:dyDescent="0.45">
      <c r="D19">
        <v>15</v>
      </c>
      <c r="E19" s="17"/>
      <c r="F19" s="19"/>
      <c r="G19" s="19"/>
      <c r="H19" s="19"/>
      <c r="I19" s="19"/>
    </row>
    <row r="20" spans="4:9" x14ac:dyDescent="0.45">
      <c r="D20">
        <v>16</v>
      </c>
      <c r="E20" s="17"/>
      <c r="F20" s="19"/>
      <c r="G20" s="19"/>
      <c r="H20" s="19"/>
      <c r="I20" s="19"/>
    </row>
    <row r="21" spans="4:9" x14ac:dyDescent="0.45">
      <c r="D21">
        <v>17</v>
      </c>
      <c r="E21" s="17"/>
      <c r="F21" s="19"/>
      <c r="G21" s="19"/>
      <c r="H21" s="19"/>
      <c r="I21" s="19"/>
    </row>
    <row r="22" spans="4:9" x14ac:dyDescent="0.45">
      <c r="D22">
        <v>18</v>
      </c>
      <c r="E22" s="17"/>
      <c r="F22" s="19"/>
      <c r="G22" s="19"/>
      <c r="H22" s="19"/>
      <c r="I22" s="19"/>
    </row>
    <row r="23" spans="4:9" x14ac:dyDescent="0.45">
      <c r="D23">
        <v>19</v>
      </c>
      <c r="E23" s="17"/>
      <c r="F23" s="19"/>
      <c r="G23" s="19"/>
      <c r="H23" s="19"/>
      <c r="I23" s="19"/>
    </row>
    <row r="24" spans="4:9" x14ac:dyDescent="0.45">
      <c r="D24">
        <v>20</v>
      </c>
      <c r="E24" s="17"/>
      <c r="F24" s="19"/>
      <c r="G24" s="19"/>
      <c r="H24" s="19"/>
      <c r="I24" s="19"/>
    </row>
    <row r="25" spans="4:9" x14ac:dyDescent="0.45">
      <c r="D25">
        <f>SUBTOTAL(104,Table13[Year])</f>
        <v>20</v>
      </c>
      <c r="E25" s="20">
        <f>SUBTOTAL(109,Table13[Costs])</f>
        <v>0</v>
      </c>
      <c r="F25" s="21"/>
      <c r="G25" s="20">
        <f>SUBTOTAL(109,Table13[Revenues])</f>
        <v>0</v>
      </c>
      <c r="H25" s="20">
        <f>SUBTOTAL(109,Table13[Net Nominal Cash Flow])</f>
        <v>0</v>
      </c>
      <c r="I25" s="21">
        <f>SUBTOTAL(109,Table13[Net Discounted Cash Flow])</f>
        <v>0</v>
      </c>
    </row>
    <row r="26" spans="4:9" x14ac:dyDescent="0.45">
      <c r="E26" s="2"/>
      <c r="F26" s="2"/>
      <c r="G26" s="2"/>
      <c r="H2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17" sqref="B17"/>
    </sheetView>
  </sheetViews>
  <sheetFormatPr defaultRowHeight="14.25" x14ac:dyDescent="0.45"/>
  <cols>
    <col min="1" max="1" width="21.3984375" customWidth="1"/>
    <col min="2" max="2" width="15.86328125" bestFit="1" customWidth="1"/>
    <col min="3" max="3" width="3.46484375" customWidth="1"/>
    <col min="4" max="4" width="6.53125" bestFit="1" customWidth="1"/>
    <col min="5" max="5" width="15.46484375" bestFit="1" customWidth="1"/>
    <col min="6" max="6" width="17" bestFit="1" customWidth="1"/>
    <col min="7" max="7" width="14.265625" bestFit="1" customWidth="1"/>
    <col min="8" max="8" width="17.53125" bestFit="1" customWidth="1"/>
    <col min="9" max="9" width="14.86328125" bestFit="1" customWidth="1"/>
    <col min="10" max="10" width="20.6640625" bestFit="1" customWidth="1"/>
    <col min="11" max="11" width="21.9296875" bestFit="1" customWidth="1"/>
    <col min="12" max="12" width="25.53125" style="2" bestFit="1" customWidth="1"/>
  </cols>
  <sheetData>
    <row r="1" spans="1:12" x14ac:dyDescent="0.45">
      <c r="A1" s="1" t="s">
        <v>0</v>
      </c>
    </row>
    <row r="2" spans="1:12" x14ac:dyDescent="0.45">
      <c r="A2" s="1" t="s">
        <v>1</v>
      </c>
    </row>
    <row r="3" spans="1:12" ht="14.65" thickBot="1" x14ac:dyDescent="0.5">
      <c r="D3" t="s">
        <v>6</v>
      </c>
      <c r="E3" t="s">
        <v>7</v>
      </c>
      <c r="F3" t="s">
        <v>17</v>
      </c>
      <c r="G3" t="s">
        <v>11</v>
      </c>
      <c r="H3" t="s">
        <v>19</v>
      </c>
      <c r="I3" t="s">
        <v>8</v>
      </c>
      <c r="J3" t="s">
        <v>18</v>
      </c>
      <c r="K3" t="s">
        <v>13</v>
      </c>
      <c r="L3" s="2" t="s">
        <v>14</v>
      </c>
    </row>
    <row r="4" spans="1:12" x14ac:dyDescent="0.45">
      <c r="A4" s="3" t="s">
        <v>2</v>
      </c>
      <c r="B4" s="4">
        <v>30</v>
      </c>
      <c r="D4">
        <v>0</v>
      </c>
      <c r="E4" s="17">
        <v>-290000000</v>
      </c>
      <c r="F4" s="19">
        <f>E4/(1+$B$12)^Table1[[#This Row],[Year]]</f>
        <v>-290000000</v>
      </c>
      <c r="G4" s="18"/>
      <c r="H4" s="24"/>
      <c r="I4" s="18"/>
      <c r="J4" s="19">
        <f>I4/(1+$B$12)^Table1[[#This Row],[Year]]</f>
        <v>0</v>
      </c>
      <c r="K4" s="19">
        <f>I4+E4</f>
        <v>-290000000</v>
      </c>
      <c r="L4" s="19">
        <f>K4/(1+$B$12)^D4</f>
        <v>-290000000</v>
      </c>
    </row>
    <row r="5" spans="1:12" x14ac:dyDescent="0.45">
      <c r="A5" s="5" t="s">
        <v>3</v>
      </c>
      <c r="B5" s="6">
        <v>0.47</v>
      </c>
      <c r="D5">
        <v>1</v>
      </c>
      <c r="E5" s="17">
        <v>-5000000</v>
      </c>
      <c r="F5" s="19">
        <f>E5/(1+$B$12)^Table1[[#This Row],[Year]]</f>
        <v>-4807692.307692308</v>
      </c>
      <c r="G5" s="22">
        <f>B9</f>
        <v>0.24399999999999999</v>
      </c>
      <c r="H5" s="25">
        <f t="shared" ref="H5:H24" si="0">$B$7</f>
        <v>123516000</v>
      </c>
      <c r="I5" s="19">
        <f>$B$7*G5</f>
        <v>30137904</v>
      </c>
      <c r="J5" s="19">
        <f>I5/(1+$B$12)^Table1[[#This Row],[Year]]</f>
        <v>28978753.846153844</v>
      </c>
      <c r="K5" s="19">
        <f t="shared" ref="K5:K24" si="1">I5+E5</f>
        <v>25137904</v>
      </c>
      <c r="L5" s="19">
        <f>K5/(1+$B$12)^D5</f>
        <v>24171061.538461536</v>
      </c>
    </row>
    <row r="6" spans="1:12" x14ac:dyDescent="0.45">
      <c r="A6" s="5" t="s">
        <v>5</v>
      </c>
      <c r="B6" s="7">
        <v>8760</v>
      </c>
      <c r="D6">
        <v>2</v>
      </c>
      <c r="E6" s="16">
        <v>-5000000</v>
      </c>
      <c r="F6" s="19">
        <f>E6/(1+$B$12)^Table1[[#This Row],[Year]]</f>
        <v>-4622781.0650887573</v>
      </c>
      <c r="G6" s="22">
        <f>G5*(1+$B$10)</f>
        <v>0.25253999999999999</v>
      </c>
      <c r="H6" s="25">
        <f t="shared" si="0"/>
        <v>123516000</v>
      </c>
      <c r="I6" s="19">
        <f t="shared" ref="I6:I24" si="2">$B$7*G6</f>
        <v>31192730.639999997</v>
      </c>
      <c r="J6" s="19">
        <f>I6/(1+$B$12)^Table1[[#This Row],[Year]]</f>
        <v>28839432.914201178</v>
      </c>
      <c r="K6" s="19">
        <f t="shared" si="1"/>
        <v>26192730.639999997</v>
      </c>
      <c r="L6" s="19">
        <f t="shared" ref="L6:L24" si="3">K6/(1+$B$12)^D6</f>
        <v>24216651.849112421</v>
      </c>
    </row>
    <row r="7" spans="1:12" ht="14.65" thickBot="1" x14ac:dyDescent="0.5">
      <c r="A7" s="8" t="s">
        <v>4</v>
      </c>
      <c r="B7" s="9">
        <f>B4*1000*B5*B6</f>
        <v>123516000</v>
      </c>
      <c r="D7">
        <v>3</v>
      </c>
      <c r="E7" s="17">
        <v>-5000000</v>
      </c>
      <c r="F7" s="19">
        <f>E7/(1+$B$12)^Table1[[#This Row],[Year]]</f>
        <v>-4444981.7933545737</v>
      </c>
      <c r="G7" s="22">
        <f t="shared" ref="G7:G24" si="4">G6*(1+$B$10)</f>
        <v>0.26137889999999997</v>
      </c>
      <c r="H7" s="25">
        <f t="shared" si="0"/>
        <v>123516000</v>
      </c>
      <c r="I7" s="19">
        <f t="shared" si="2"/>
        <v>32284476.212399997</v>
      </c>
      <c r="J7" s="19">
        <f>I7/(1+$B$12)^Table1[[#This Row],[Year]]</f>
        <v>28700781.794421364</v>
      </c>
      <c r="K7" s="19">
        <f t="shared" si="1"/>
        <v>27284476.212399997</v>
      </c>
      <c r="L7" s="19">
        <f t="shared" si="3"/>
        <v>24255800.001066793</v>
      </c>
    </row>
    <row r="8" spans="1:12" ht="14.65" thickBot="1" x14ac:dyDescent="0.5">
      <c r="D8">
        <v>4</v>
      </c>
      <c r="E8" s="17">
        <v>-5000000</v>
      </c>
      <c r="F8" s="19">
        <f>E8/(1+$B$12)^Table1[[#This Row],[Year]]</f>
        <v>-4274020.9551486289</v>
      </c>
      <c r="G8" s="22">
        <f t="shared" si="4"/>
        <v>0.27052716149999995</v>
      </c>
      <c r="H8" s="25">
        <f t="shared" si="0"/>
        <v>123516000</v>
      </c>
      <c r="I8" s="19">
        <f t="shared" si="2"/>
        <v>33414432.879833993</v>
      </c>
      <c r="J8" s="19">
        <f>I8/(1+$B$12)^Table1[[#This Row],[Year]]</f>
        <v>28562797.266563565</v>
      </c>
      <c r="K8" s="19">
        <f t="shared" si="1"/>
        <v>28414432.879833993</v>
      </c>
      <c r="L8" s="19">
        <f t="shared" si="3"/>
        <v>24288776.311414935</v>
      </c>
    </row>
    <row r="9" spans="1:12" x14ac:dyDescent="0.45">
      <c r="A9" s="3" t="s">
        <v>9</v>
      </c>
      <c r="B9" s="10">
        <v>0.24399999999999999</v>
      </c>
      <c r="D9">
        <v>5</v>
      </c>
      <c r="E9" s="17">
        <v>-5000000</v>
      </c>
      <c r="F9" s="19">
        <f>E9/(1+$B$12)^Table1[[#This Row],[Year]]</f>
        <v>-4109635.5337967579</v>
      </c>
      <c r="G9" s="22">
        <f t="shared" si="4"/>
        <v>0.27999561215249991</v>
      </c>
      <c r="H9" s="25">
        <f t="shared" si="0"/>
        <v>123516000</v>
      </c>
      <c r="I9" s="19">
        <f t="shared" si="2"/>
        <v>34583938.030628182</v>
      </c>
      <c r="J9" s="19">
        <f>I9/(1+$B$12)^Table1[[#This Row],[Year]]</f>
        <v>28425476.125858929</v>
      </c>
      <c r="K9" s="19">
        <f t="shared" si="1"/>
        <v>29583938.030628182</v>
      </c>
      <c r="L9" s="19">
        <f t="shared" si="3"/>
        <v>24315840.592062172</v>
      </c>
    </row>
    <row r="10" spans="1:12" ht="14.65" thickBot="1" x14ac:dyDescent="0.5">
      <c r="A10" s="8" t="s">
        <v>10</v>
      </c>
      <c r="B10" s="11">
        <v>3.5000000000000003E-2</v>
      </c>
      <c r="D10">
        <v>6</v>
      </c>
      <c r="E10" s="17">
        <v>-5000000</v>
      </c>
      <c r="F10" s="19">
        <f>E10/(1+$B$12)^Table1[[#This Row],[Year]]</f>
        <v>-3951572.6286507286</v>
      </c>
      <c r="G10" s="22">
        <f t="shared" si="4"/>
        <v>0.28979545857783739</v>
      </c>
      <c r="H10" s="25">
        <f t="shared" si="0"/>
        <v>123516000</v>
      </c>
      <c r="I10" s="19">
        <f t="shared" si="2"/>
        <v>35794375.861700162</v>
      </c>
      <c r="J10" s="19">
        <f>I10/(1+$B$12)^Table1[[#This Row],[Year]]</f>
        <v>28288815.182946138</v>
      </c>
      <c r="K10" s="19">
        <f t="shared" si="1"/>
        <v>30794375.861700162</v>
      </c>
      <c r="L10" s="19">
        <f t="shared" si="3"/>
        <v>24337242.554295409</v>
      </c>
    </row>
    <row r="11" spans="1:12" ht="14.65" thickBot="1" x14ac:dyDescent="0.5">
      <c r="D11">
        <v>7</v>
      </c>
      <c r="E11" s="17">
        <v>-5000000</v>
      </c>
      <c r="F11" s="19">
        <f>E11/(1+$B$12)^Table1[[#This Row],[Year]]</f>
        <v>-3799589.0660103164</v>
      </c>
      <c r="G11" s="22">
        <f t="shared" si="4"/>
        <v>0.29993829962806168</v>
      </c>
      <c r="H11" s="25">
        <f t="shared" si="0"/>
        <v>123516000</v>
      </c>
      <c r="I11" s="19">
        <f t="shared" si="2"/>
        <v>37047179.016859666</v>
      </c>
      <c r="J11" s="19">
        <f>I11/(1+$B$12)^Table1[[#This Row],[Year]]</f>
        <v>28152811.263797361</v>
      </c>
      <c r="K11" s="19">
        <f t="shared" si="1"/>
        <v>32047179.016859666</v>
      </c>
      <c r="L11" s="19">
        <f t="shared" si="3"/>
        <v>24353222.197787043</v>
      </c>
    </row>
    <row r="12" spans="1:12" ht="14.65" thickBot="1" x14ac:dyDescent="0.5">
      <c r="A12" s="12" t="s">
        <v>12</v>
      </c>
      <c r="B12" s="13">
        <v>0.04</v>
      </c>
      <c r="D12">
        <v>8</v>
      </c>
      <c r="E12" s="17">
        <v>-5000000</v>
      </c>
      <c r="F12" s="19">
        <f>E12/(1+$B$12)^Table1[[#This Row],[Year]]</f>
        <v>-3653451.025009919</v>
      </c>
      <c r="G12" s="22">
        <f t="shared" si="4"/>
        <v>0.31043614011504383</v>
      </c>
      <c r="H12" s="25">
        <f t="shared" si="0"/>
        <v>123516000</v>
      </c>
      <c r="I12" s="19">
        <f t="shared" si="2"/>
        <v>38343830.282449752</v>
      </c>
      <c r="J12" s="19">
        <f>I12/(1+$B$12)^Table1[[#This Row],[Year]]</f>
        <v>28017461.209644482</v>
      </c>
      <c r="K12" s="19">
        <f t="shared" si="1"/>
        <v>33343830.282449752</v>
      </c>
      <c r="L12" s="19">
        <f t="shared" si="3"/>
        <v>24364010.184634563</v>
      </c>
    </row>
    <row r="13" spans="1:12" ht="14.65" thickBot="1" x14ac:dyDescent="0.5">
      <c r="D13">
        <v>9</v>
      </c>
      <c r="E13" s="17">
        <v>-5000000</v>
      </c>
      <c r="F13" s="19">
        <f>E13/(1+$B$12)^Table1[[#This Row],[Year]]</f>
        <v>-3512933.6778941522</v>
      </c>
      <c r="G13" s="22">
        <f t="shared" si="4"/>
        <v>0.32130140501907034</v>
      </c>
      <c r="H13" s="25">
        <f t="shared" si="0"/>
        <v>123516000</v>
      </c>
      <c r="I13" s="19">
        <f t="shared" si="2"/>
        <v>39685864.342335492</v>
      </c>
      <c r="J13" s="19">
        <f>I13/(1+$B$12)^Table1[[#This Row],[Year]]</f>
        <v>27882761.876905803</v>
      </c>
      <c r="K13" s="19">
        <f t="shared" si="1"/>
        <v>34685864.342335492</v>
      </c>
      <c r="L13" s="19">
        <f>K13/(1+$B$12)^D13</f>
        <v>24369828.19901165</v>
      </c>
    </row>
    <row r="14" spans="1:12" x14ac:dyDescent="0.45">
      <c r="A14" s="3" t="s">
        <v>15</v>
      </c>
      <c r="B14" s="14">
        <f>Table1[[#Totals],[Net Discounted Cash Flow]]</f>
        <v>162122480.62277538</v>
      </c>
      <c r="D14">
        <v>10</v>
      </c>
      <c r="E14" s="17">
        <v>-55000000</v>
      </c>
      <c r="F14" s="19">
        <f>E14/(1+$B$12)^Table1[[#This Row],[Year]]</f>
        <v>-37156029.28541892</v>
      </c>
      <c r="G14" s="22">
        <f t="shared" si="4"/>
        <v>0.33254695419473779</v>
      </c>
      <c r="H14" s="25">
        <f t="shared" si="0"/>
        <v>123516000</v>
      </c>
      <c r="I14" s="19">
        <f t="shared" si="2"/>
        <v>41074869.594317235</v>
      </c>
      <c r="J14" s="19">
        <f>I14/(1+$B$12)^Table1[[#This Row],[Year]]</f>
        <v>27748710.13711299</v>
      </c>
      <c r="K14" s="19">
        <f t="shared" si="1"/>
        <v>-13925130.405682765</v>
      </c>
      <c r="L14" s="19">
        <f t="shared" si="3"/>
        <v>-9407319.1483059321</v>
      </c>
    </row>
    <row r="15" spans="1:12" ht="14.65" thickBot="1" x14ac:dyDescent="0.5">
      <c r="A15" s="8" t="s">
        <v>16</v>
      </c>
      <c r="B15" s="23">
        <f>-Table1[[#Totals],[Discounted Costs]]/Table1[[#Totals],[Generation (kWh)]]</f>
        <v>0.15857453292129292</v>
      </c>
      <c r="D15">
        <v>11</v>
      </c>
      <c r="E15" s="17">
        <v>-5000000</v>
      </c>
      <c r="F15" s="19">
        <f>E15/(1+$B$12)^Table1[[#This Row],[Year]]</f>
        <v>-3247904.6578163393</v>
      </c>
      <c r="G15" s="22">
        <f t="shared" si="4"/>
        <v>0.34418609759155361</v>
      </c>
      <c r="H15" s="25">
        <f t="shared" si="0"/>
        <v>123516000</v>
      </c>
      <c r="I15" s="19">
        <f t="shared" si="2"/>
        <v>42512490.030118339</v>
      </c>
      <c r="J15" s="19">
        <f>I15/(1+$B$12)^Table1[[#This Row],[Year]]</f>
        <v>27615302.876838408</v>
      </c>
      <c r="K15" s="19">
        <f t="shared" si="1"/>
        <v>37512490.030118339</v>
      </c>
      <c r="L15" s="19">
        <f t="shared" si="3"/>
        <v>24367398.219022069</v>
      </c>
    </row>
    <row r="16" spans="1:12" ht="14.65" thickBot="1" x14ac:dyDescent="0.5">
      <c r="A16" s="29" t="s">
        <v>21</v>
      </c>
      <c r="B16" s="23">
        <f>-Table1[[#Totals],[Costs]]/Table1[[#Totals],[Generation (kWh)]]</f>
        <v>0.17811457624923088</v>
      </c>
      <c r="D16">
        <v>12</v>
      </c>
      <c r="E16" s="17">
        <v>-5000000</v>
      </c>
      <c r="F16" s="19">
        <f>E16/(1+$B$12)^Table1[[#This Row],[Year]]</f>
        <v>-3122985.2479003258</v>
      </c>
      <c r="G16" s="22">
        <f t="shared" si="4"/>
        <v>0.35623261100725795</v>
      </c>
      <c r="H16" s="25">
        <f t="shared" si="0"/>
        <v>123516000</v>
      </c>
      <c r="I16" s="19">
        <f t="shared" si="2"/>
        <v>44000427.181172475</v>
      </c>
      <c r="J16" s="19">
        <f>I16/(1+$B$12)^Table1[[#This Row],[Year]]</f>
        <v>27482536.997622829</v>
      </c>
      <c r="K16" s="19">
        <f t="shared" si="1"/>
        <v>39000427.181172475</v>
      </c>
      <c r="L16" s="19">
        <f t="shared" si="3"/>
        <v>24359551.749722503</v>
      </c>
    </row>
    <row r="17" spans="4:12" x14ac:dyDescent="0.45">
      <c r="D17">
        <v>13</v>
      </c>
      <c r="E17" s="17">
        <v>-5000000</v>
      </c>
      <c r="F17" s="19">
        <f>E17/(1+$B$12)^Table1[[#This Row],[Year]]</f>
        <v>-3002870.4306733902</v>
      </c>
      <c r="G17" s="22">
        <f t="shared" si="4"/>
        <v>0.36870075239251193</v>
      </c>
      <c r="H17" s="25">
        <f t="shared" si="0"/>
        <v>123516000</v>
      </c>
      <c r="I17" s="19">
        <f t="shared" si="2"/>
        <v>45540442.132513501</v>
      </c>
      <c r="J17" s="19">
        <f>I17/(1+$B$12)^Table1[[#This Row],[Year]]</f>
        <v>27350409.415903483</v>
      </c>
      <c r="K17" s="19">
        <f t="shared" si="1"/>
        <v>40540442.132513501</v>
      </c>
      <c r="L17" s="19">
        <f t="shared" si="3"/>
        <v>24347538.985230092</v>
      </c>
    </row>
    <row r="18" spans="4:12" x14ac:dyDescent="0.45">
      <c r="D18">
        <v>14</v>
      </c>
      <c r="E18" s="17">
        <v>-5000000</v>
      </c>
      <c r="F18" s="19">
        <f>E18/(1+$B$12)^Table1[[#This Row],[Year]]</f>
        <v>-2887375.4141090289</v>
      </c>
      <c r="G18" s="22">
        <f t="shared" si="4"/>
        <v>0.38160527872624983</v>
      </c>
      <c r="H18" s="25">
        <f t="shared" si="0"/>
        <v>123516000</v>
      </c>
      <c r="I18" s="19">
        <f t="shared" si="2"/>
        <v>47134357.607151471</v>
      </c>
      <c r="J18" s="19">
        <f>I18/(1+$B$12)^Table1[[#This Row],[Year]]</f>
        <v>27218917.062942408</v>
      </c>
      <c r="K18" s="19">
        <f t="shared" si="1"/>
        <v>42134357.607151471</v>
      </c>
      <c r="L18" s="19">
        <f t="shared" si="3"/>
        <v>24331541.648833379</v>
      </c>
    </row>
    <row r="19" spans="4:12" x14ac:dyDescent="0.45">
      <c r="D19">
        <v>15</v>
      </c>
      <c r="E19" s="17">
        <v>-5000000</v>
      </c>
      <c r="F19" s="19">
        <f>E19/(1+$B$12)^Table1[[#This Row],[Year]]</f>
        <v>-2776322.5135663738</v>
      </c>
      <c r="G19" s="22">
        <f t="shared" si="4"/>
        <v>0.39496146348166855</v>
      </c>
      <c r="H19" s="25">
        <f t="shared" si="0"/>
        <v>123516000</v>
      </c>
      <c r="I19" s="19">
        <f t="shared" si="2"/>
        <v>48784060.123401776</v>
      </c>
      <c r="J19" s="19">
        <f>I19/(1+$B$12)^Table1[[#This Row],[Year]]</f>
        <v>27088056.884755187</v>
      </c>
      <c r="K19" s="19">
        <f t="shared" si="1"/>
        <v>43784060.123401776</v>
      </c>
      <c r="L19" s="19">
        <f t="shared" si="3"/>
        <v>24311734.371188812</v>
      </c>
    </row>
    <row r="20" spans="4:12" x14ac:dyDescent="0.45">
      <c r="D20">
        <v>16</v>
      </c>
      <c r="E20" s="17">
        <v>-5000000</v>
      </c>
      <c r="F20" s="19">
        <f>E20/(1+$B$12)^Table1[[#This Row],[Year]]</f>
        <v>-2669540.8784292052</v>
      </c>
      <c r="G20" s="22">
        <f t="shared" si="4"/>
        <v>0.40878511470352691</v>
      </c>
      <c r="H20" s="25">
        <f t="shared" si="0"/>
        <v>123516000</v>
      </c>
      <c r="I20" s="19">
        <f t="shared" si="2"/>
        <v>50491502.227720827</v>
      </c>
      <c r="J20" s="19">
        <f>I20/(1+$B$12)^Table1[[#This Row],[Year]]</f>
        <v>26957825.842040006</v>
      </c>
      <c r="K20" s="19">
        <f t="shared" si="1"/>
        <v>45491502.227720827</v>
      </c>
      <c r="L20" s="19">
        <f t="shared" si="3"/>
        <v>24288284.963610802</v>
      </c>
    </row>
    <row r="21" spans="4:12" x14ac:dyDescent="0.45">
      <c r="D21">
        <v>17</v>
      </c>
      <c r="E21" s="17">
        <v>-5000000</v>
      </c>
      <c r="F21" s="19">
        <f>E21/(1+$B$12)^Table1[[#This Row],[Year]]</f>
        <v>-2566866.2292588511</v>
      </c>
      <c r="G21" s="22">
        <f t="shared" si="4"/>
        <v>0.42309259371815033</v>
      </c>
      <c r="H21" s="25">
        <f t="shared" si="0"/>
        <v>123516000</v>
      </c>
      <c r="I21" s="19">
        <f t="shared" si="2"/>
        <v>52258704.805691056</v>
      </c>
      <c r="J21" s="19">
        <f>I21/(1+$B$12)^Table1[[#This Row],[Year]]</f>
        <v>26828220.910107121</v>
      </c>
      <c r="K21" s="19">
        <f t="shared" si="1"/>
        <v>47258704.805691056</v>
      </c>
      <c r="L21" s="19">
        <f t="shared" si="3"/>
        <v>24261354.680848271</v>
      </c>
    </row>
    <row r="22" spans="4:12" x14ac:dyDescent="0.45">
      <c r="D22">
        <v>18</v>
      </c>
      <c r="E22" s="17">
        <v>-5000000</v>
      </c>
      <c r="F22" s="19">
        <f>E22/(1+$B$12)^Table1[[#This Row],[Year]]</f>
        <v>-2468140.6050565876</v>
      </c>
      <c r="G22" s="22">
        <f t="shared" si="4"/>
        <v>0.43790083449828554</v>
      </c>
      <c r="H22" s="25">
        <f t="shared" si="0"/>
        <v>123516000</v>
      </c>
      <c r="I22" s="19">
        <f t="shared" si="2"/>
        <v>54087759.473890238</v>
      </c>
      <c r="J22" s="19">
        <f>I22/(1+$B$12)^Table1[[#This Row],[Year]]</f>
        <v>26699239.078808524</v>
      </c>
      <c r="K22" s="19">
        <f t="shared" si="1"/>
        <v>49087759.473890238</v>
      </c>
      <c r="L22" s="19">
        <f t="shared" si="3"/>
        <v>24231098.473751936</v>
      </c>
    </row>
    <row r="23" spans="4:12" x14ac:dyDescent="0.45">
      <c r="D23">
        <v>19</v>
      </c>
      <c r="E23" s="17">
        <v>-5000000</v>
      </c>
      <c r="F23" s="19">
        <f>E23/(1+$B$12)^Table1[[#This Row],[Year]]</f>
        <v>-2373212.1202467186</v>
      </c>
      <c r="G23" s="22">
        <f t="shared" si="4"/>
        <v>0.45322736370572547</v>
      </c>
      <c r="H23" s="25">
        <f t="shared" si="0"/>
        <v>123516000</v>
      </c>
      <c r="I23" s="19">
        <f t="shared" si="2"/>
        <v>55980831.05547639</v>
      </c>
      <c r="J23" s="19">
        <f>I23/(1+$B$12)^Table1[[#This Row],[Year]]</f>
        <v>26570877.352468096</v>
      </c>
      <c r="K23" s="19">
        <f t="shared" si="1"/>
        <v>50980831.05547639</v>
      </c>
      <c r="L23" s="19">
        <f t="shared" si="3"/>
        <v>24197665.232221376</v>
      </c>
    </row>
    <row r="24" spans="4:12" x14ac:dyDescent="0.45">
      <c r="D24">
        <v>20</v>
      </c>
      <c r="E24" s="17">
        <v>-5000000</v>
      </c>
      <c r="F24" s="19">
        <f>E24/(1+$B$12)^Table1[[#This Row],[Year]]</f>
        <v>-2281934.7310064603</v>
      </c>
      <c r="G24" s="22">
        <f t="shared" si="4"/>
        <v>0.46909032143542584</v>
      </c>
      <c r="H24" s="25">
        <f t="shared" si="0"/>
        <v>123516000</v>
      </c>
      <c r="I24" s="19">
        <f t="shared" si="2"/>
        <v>57940160.142418057</v>
      </c>
      <c r="J24" s="19">
        <f>I24/(1+$B$12)^Table1[[#This Row],[Year]]</f>
        <v>26443132.749811996</v>
      </c>
      <c r="K24" s="19">
        <f t="shared" si="1"/>
        <v>52940160.142418057</v>
      </c>
      <c r="L24" s="19">
        <f t="shared" si="3"/>
        <v>24161198.018805537</v>
      </c>
    </row>
    <row r="25" spans="4:12" x14ac:dyDescent="0.45">
      <c r="D25">
        <f>SUBTOTAL(104,Table1[Year])</f>
        <v>20</v>
      </c>
      <c r="E25" s="20">
        <f>SUBTOTAL(109,Table1[Costs])</f>
        <v>-440000000</v>
      </c>
      <c r="F25" s="20">
        <f>SUBTOTAL(109,Table1[Discounted Costs])</f>
        <v>-391729840.16612834</v>
      </c>
      <c r="G25" s="20"/>
      <c r="H25" s="24">
        <f>SUBTOTAL(109,Table1[Generation (kWh)])</f>
        <v>2470320000</v>
      </c>
      <c r="I25" s="20">
        <f>SUBTOTAL(109,Table1[Revenues])</f>
        <v>852290335.64007854</v>
      </c>
      <c r="J25" s="20">
        <f>SUBTOTAL(109,Table1[Discounted Revenues])</f>
        <v>553852320.78890371</v>
      </c>
      <c r="K25" s="20">
        <f>SUBTOTAL(109,Table1[Net Nominal Cash Flow])</f>
        <v>412290335.64007854</v>
      </c>
      <c r="L25" s="20">
        <f>SUBTOTAL(109,Table1[Net Discounted Cash Flow])</f>
        <v>162122480.62277538</v>
      </c>
    </row>
    <row r="26" spans="4:12" x14ac:dyDescent="0.45">
      <c r="E26" s="2"/>
      <c r="F26" s="2"/>
      <c r="G26" s="2"/>
      <c r="H26" s="2"/>
      <c r="I26" s="2"/>
      <c r="J26" s="2"/>
      <c r="K2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4924-4B04-4A52-B58D-F45C7C9EBCD8}">
  <dimension ref="A1:M46"/>
  <sheetViews>
    <sheetView topLeftCell="A5" workbookViewId="0">
      <selection activeCell="E5" sqref="E5:E24"/>
    </sheetView>
  </sheetViews>
  <sheetFormatPr defaultRowHeight="14.25" x14ac:dyDescent="0.45"/>
  <cols>
    <col min="1" max="1" width="21.3984375" customWidth="1"/>
    <col min="2" max="2" width="16.86328125" customWidth="1"/>
    <col min="3" max="3" width="3.46484375" customWidth="1"/>
    <col min="4" max="4" width="6.53125" bestFit="1" customWidth="1"/>
    <col min="5" max="5" width="15.46484375" bestFit="1" customWidth="1"/>
    <col min="6" max="6" width="17" bestFit="1" customWidth="1"/>
    <col min="7" max="7" width="14.265625" bestFit="1" customWidth="1"/>
    <col min="8" max="8" width="17.53125" bestFit="1" customWidth="1"/>
    <col min="9" max="9" width="16.86328125" customWidth="1"/>
    <col min="10" max="10" width="20.6640625" bestFit="1" customWidth="1"/>
    <col min="11" max="11" width="21.9296875" bestFit="1" customWidth="1"/>
    <col min="12" max="12" width="25.53125" style="2" bestFit="1" customWidth="1"/>
    <col min="13" max="13" width="25.53125" bestFit="1" customWidth="1"/>
  </cols>
  <sheetData>
    <row r="1" spans="1:13" x14ac:dyDescent="0.45">
      <c r="A1" s="1" t="s">
        <v>0</v>
      </c>
    </row>
    <row r="2" spans="1:13" x14ac:dyDescent="0.45">
      <c r="A2" s="1" t="s">
        <v>1</v>
      </c>
    </row>
    <row r="3" spans="1:13" ht="14.65" thickBot="1" x14ac:dyDescent="0.5">
      <c r="D3" t="s">
        <v>6</v>
      </c>
      <c r="E3" t="s">
        <v>7</v>
      </c>
      <c r="F3" t="s">
        <v>17</v>
      </c>
      <c r="G3" t="s">
        <v>20</v>
      </c>
      <c r="H3" t="s">
        <v>11</v>
      </c>
      <c r="I3" t="s">
        <v>19</v>
      </c>
      <c r="J3" t="s">
        <v>8</v>
      </c>
      <c r="K3" t="s">
        <v>18</v>
      </c>
      <c r="L3" t="s">
        <v>13</v>
      </c>
      <c r="M3" s="2" t="s">
        <v>14</v>
      </c>
    </row>
    <row r="4" spans="1:13" x14ac:dyDescent="0.45">
      <c r="A4" s="3" t="s">
        <v>2</v>
      </c>
      <c r="B4" s="4">
        <v>30</v>
      </c>
      <c r="D4">
        <v>0</v>
      </c>
      <c r="E4" s="17">
        <v>-290000000</v>
      </c>
      <c r="F4" s="19">
        <f>Table14[[#This Row],[Costs]]*Table14[[#This Row],[Escalation]]/(1+$B$12)^Table14[[#This Row],[Year]]</f>
        <v>-290000000</v>
      </c>
      <c r="G4" s="28">
        <v>1</v>
      </c>
      <c r="H4" s="18"/>
      <c r="I4" s="24"/>
      <c r="J4" s="18"/>
      <c r="K4" s="19">
        <f>J4/(1+$B$12)^Table14[[#This Row],[Year]]</f>
        <v>0</v>
      </c>
      <c r="L4" s="19">
        <f>J4+E4</f>
        <v>-290000000</v>
      </c>
      <c r="M4" s="19">
        <f>L4/(1+$B$12)^D4</f>
        <v>-290000000</v>
      </c>
    </row>
    <row r="5" spans="1:13" x14ac:dyDescent="0.45">
      <c r="A5" s="5" t="s">
        <v>3</v>
      </c>
      <c r="B5" s="6">
        <v>0.47</v>
      </c>
      <c r="D5">
        <v>1</v>
      </c>
      <c r="E5" s="17">
        <v>-5000000</v>
      </c>
      <c r="F5" s="19">
        <f>Table14[[#This Row],[Costs]]*Table14[[#This Row],[Escalation]]/(1+$B$12)^Table14[[#This Row],[Year]]</f>
        <v>-4807692.307692308</v>
      </c>
      <c r="G5" s="28">
        <v>1</v>
      </c>
      <c r="H5" s="22">
        <f>$B$9*Table14[[#This Row],[Escalation]]</f>
        <v>0.24399999999999999</v>
      </c>
      <c r="I5" s="25">
        <f t="shared" ref="I5:I24" si="0">$B$7</f>
        <v>123516000</v>
      </c>
      <c r="J5" s="19">
        <f>$B$7*H5</f>
        <v>30137904</v>
      </c>
      <c r="K5" s="19">
        <f>J5/(1+$B$12)^Table14[[#This Row],[Year]]</f>
        <v>28978753.846153844</v>
      </c>
      <c r="L5" s="19">
        <f>J5+E5</f>
        <v>25137904</v>
      </c>
      <c r="M5" s="19">
        <f>L5/(1+$B$12)^D5</f>
        <v>24171061.538461536</v>
      </c>
    </row>
    <row r="6" spans="1:13" x14ac:dyDescent="0.45">
      <c r="A6" s="5" t="s">
        <v>5</v>
      </c>
      <c r="B6" s="7">
        <v>8760</v>
      </c>
      <c r="D6">
        <v>2</v>
      </c>
      <c r="E6" s="16">
        <v>-5000000</v>
      </c>
      <c r="F6" s="19">
        <f>Table14[[#This Row],[Costs]]*Table14[[#This Row],[Escalation]]/(1+$B$12)^Table14[[#This Row],[Year]]</f>
        <v>-4784578.4023668636</v>
      </c>
      <c r="G6" s="28">
        <f t="shared" ref="G6:G45" si="1">(1+$B$10)*G5</f>
        <v>1.0349999999999999</v>
      </c>
      <c r="H6" s="22">
        <f>$B$9*Table14[[#This Row],[Escalation]]</f>
        <v>0.25253999999999999</v>
      </c>
      <c r="I6" s="25">
        <f t="shared" si="0"/>
        <v>123516000</v>
      </c>
      <c r="J6" s="19">
        <f t="shared" ref="J6:J45" si="2">$B$7*H6</f>
        <v>31192730.639999997</v>
      </c>
      <c r="K6" s="19">
        <f>J6/(1+$B$12)^Table14[[#This Row],[Year]]</f>
        <v>28839432.914201178</v>
      </c>
      <c r="L6" s="19">
        <f>J6+E6</f>
        <v>26192730.639999997</v>
      </c>
      <c r="M6" s="19">
        <f>L6/(1+$B$12)^D6</f>
        <v>24216651.849112421</v>
      </c>
    </row>
    <row r="7" spans="1:13" ht="14.65" thickBot="1" x14ac:dyDescent="0.5">
      <c r="A7" s="8" t="s">
        <v>4</v>
      </c>
      <c r="B7" s="9">
        <f>B4*1000*B5*B6</f>
        <v>123516000</v>
      </c>
      <c r="D7">
        <v>3</v>
      </c>
      <c r="E7" s="17">
        <v>-5000000</v>
      </c>
      <c r="F7" s="19">
        <f>Table14[[#This Row],[Costs]]*Table14[[#This Row],[Escalation]]/(1+$B$12)^Table14[[#This Row],[Year]]</f>
        <v>-4761575.6215862529</v>
      </c>
      <c r="G7" s="28">
        <f t="shared" si="1"/>
        <v>1.0712249999999999</v>
      </c>
      <c r="H7" s="22">
        <f>$B$9*Table14[[#This Row],[Escalation]]</f>
        <v>0.26137889999999997</v>
      </c>
      <c r="I7" s="25">
        <f t="shared" si="0"/>
        <v>123516000</v>
      </c>
      <c r="J7" s="19">
        <f t="shared" si="2"/>
        <v>32284476.212399997</v>
      </c>
      <c r="K7" s="19">
        <f>J7/(1+$B$12)^Table14[[#This Row],[Year]]</f>
        <v>28700781.794421364</v>
      </c>
      <c r="L7" s="19">
        <f>J7+E7</f>
        <v>27284476.212399997</v>
      </c>
      <c r="M7" s="19">
        <f>L7/(1+$B$12)^D7</f>
        <v>24255800.001066793</v>
      </c>
    </row>
    <row r="8" spans="1:13" ht="14.65" thickBot="1" x14ac:dyDescent="0.5">
      <c r="D8">
        <v>4</v>
      </c>
      <c r="E8" s="17">
        <v>-5000000</v>
      </c>
      <c r="F8" s="19">
        <f>Table14[[#This Row],[Costs]]*Table14[[#This Row],[Escalation]]/(1+$B$12)^Table14[[#This Row],[Year]]</f>
        <v>-4738683.4310978567</v>
      </c>
      <c r="G8" s="28">
        <f t="shared" si="1"/>
        <v>1.1087178749999997</v>
      </c>
      <c r="H8" s="22">
        <f>$B$9*Table14[[#This Row],[Escalation]]</f>
        <v>0.27052716149999995</v>
      </c>
      <c r="I8" s="25">
        <f t="shared" si="0"/>
        <v>123516000</v>
      </c>
      <c r="J8" s="19">
        <f t="shared" si="2"/>
        <v>33414432.879833993</v>
      </c>
      <c r="K8" s="19">
        <f>J8/(1+$B$12)^Table14[[#This Row],[Year]]</f>
        <v>28562797.266563565</v>
      </c>
      <c r="L8" s="19">
        <f>J8+E8</f>
        <v>28414432.879833993</v>
      </c>
      <c r="M8" s="19">
        <f>L8/(1+$B$12)^D8</f>
        <v>24288776.311414935</v>
      </c>
    </row>
    <row r="9" spans="1:13" x14ac:dyDescent="0.45">
      <c r="A9" s="3" t="s">
        <v>9</v>
      </c>
      <c r="B9" s="10">
        <v>0.24399999999999999</v>
      </c>
      <c r="D9">
        <v>5</v>
      </c>
      <c r="E9" s="17">
        <v>-5000000</v>
      </c>
      <c r="F9" s="19">
        <f>Table14[[#This Row],[Costs]]*Table14[[#This Row],[Escalation]]/(1+$B$12)^Table14[[#This Row],[Year]]</f>
        <v>-4715901.2992175771</v>
      </c>
      <c r="G9" s="28">
        <f t="shared" si="1"/>
        <v>1.1475230006249997</v>
      </c>
      <c r="H9" s="22">
        <f>$B$9*Table14[[#This Row],[Escalation]]</f>
        <v>0.27999561215249991</v>
      </c>
      <c r="I9" s="25">
        <f t="shared" si="0"/>
        <v>123516000</v>
      </c>
      <c r="J9" s="19">
        <f t="shared" si="2"/>
        <v>34583938.030628182</v>
      </c>
      <c r="K9" s="19">
        <f>J9/(1+$B$12)^Table14[[#This Row],[Year]]</f>
        <v>28425476.125858929</v>
      </c>
      <c r="L9" s="19">
        <f>J9+E9</f>
        <v>29583938.030628182</v>
      </c>
      <c r="M9" s="19">
        <f>L9/(1+$B$12)^D9</f>
        <v>24315840.592062172</v>
      </c>
    </row>
    <row r="10" spans="1:13" ht="14.65" thickBot="1" x14ac:dyDescent="0.5">
      <c r="A10" s="8" t="s">
        <v>10</v>
      </c>
      <c r="B10" s="11">
        <v>3.5000000000000003E-2</v>
      </c>
      <c r="D10">
        <v>6</v>
      </c>
      <c r="E10" s="17">
        <v>-5000000</v>
      </c>
      <c r="F10" s="19">
        <f>Table14[[#This Row],[Costs]]*Table14[[#This Row],[Escalation]]/(1+$B$12)^Table14[[#This Row],[Year]]</f>
        <v>-4693228.6968174931</v>
      </c>
      <c r="G10" s="28">
        <f t="shared" si="1"/>
        <v>1.1876863056468745</v>
      </c>
      <c r="H10" s="22">
        <f>$B$9*Table14[[#This Row],[Escalation]]</f>
        <v>0.28979545857783739</v>
      </c>
      <c r="I10" s="25">
        <f t="shared" si="0"/>
        <v>123516000</v>
      </c>
      <c r="J10" s="19">
        <f t="shared" si="2"/>
        <v>35794375.861700162</v>
      </c>
      <c r="K10" s="19">
        <f>J10/(1+$B$12)^Table14[[#This Row],[Year]]</f>
        <v>28288815.182946138</v>
      </c>
      <c r="L10" s="19">
        <f>J10+E10</f>
        <v>30794375.861700162</v>
      </c>
      <c r="M10" s="19">
        <f>L10/(1+$B$12)^D10</f>
        <v>24337242.554295409</v>
      </c>
    </row>
    <row r="11" spans="1:13" ht="14.65" thickBot="1" x14ac:dyDescent="0.5">
      <c r="D11">
        <v>7</v>
      </c>
      <c r="E11" s="17">
        <v>-5000000</v>
      </c>
      <c r="F11" s="19">
        <f>Table14[[#This Row],[Costs]]*Table14[[#This Row],[Escalation]]/(1+$B$12)^Table14[[#This Row],[Year]]</f>
        <v>-4670665.0973135624</v>
      </c>
      <c r="G11" s="28">
        <f t="shared" si="1"/>
        <v>1.229255326344515</v>
      </c>
      <c r="H11" s="22">
        <f>$B$9*Table14[[#This Row],[Escalation]]</f>
        <v>0.29993829962806162</v>
      </c>
      <c r="I11" s="25">
        <f t="shared" si="0"/>
        <v>123516000</v>
      </c>
      <c r="J11" s="19">
        <f t="shared" si="2"/>
        <v>37047179.016859658</v>
      </c>
      <c r="K11" s="19">
        <f>J11/(1+$B$12)^Table14[[#This Row],[Year]]</f>
        <v>28152811.263797354</v>
      </c>
      <c r="L11" s="19">
        <f>J11+E11</f>
        <v>32047179.016859658</v>
      </c>
      <c r="M11" s="19">
        <f>L11/(1+$B$12)^D11</f>
        <v>24353222.197787039</v>
      </c>
    </row>
    <row r="12" spans="1:13" ht="14.65" thickBot="1" x14ac:dyDescent="0.5">
      <c r="A12" s="12" t="s">
        <v>12</v>
      </c>
      <c r="B12" s="13">
        <v>0.04</v>
      </c>
      <c r="D12">
        <v>8</v>
      </c>
      <c r="E12" s="17">
        <v>-5000000</v>
      </c>
      <c r="F12" s="19">
        <f>Table14[[#This Row],[Costs]]*Table14[[#This Row],[Escalation]]/(1+$B$12)^Table14[[#This Row],[Year]]</f>
        <v>-4648209.9766533999</v>
      </c>
      <c r="G12" s="28">
        <f t="shared" si="1"/>
        <v>1.2722792627665729</v>
      </c>
      <c r="H12" s="22">
        <f>$B$9*Table14[[#This Row],[Escalation]]</f>
        <v>0.31043614011504378</v>
      </c>
      <c r="I12" s="25">
        <f t="shared" si="0"/>
        <v>123516000</v>
      </c>
      <c r="J12" s="19">
        <f t="shared" si="2"/>
        <v>38343830.282449745</v>
      </c>
      <c r="K12" s="19">
        <f>J12/(1+$B$12)^Table14[[#This Row],[Year]]</f>
        <v>28017461.209644478</v>
      </c>
      <c r="L12" s="19">
        <f>J12+E12</f>
        <v>33343830.282449745</v>
      </c>
      <c r="M12" s="19">
        <f>L12/(1+$B$12)^D12</f>
        <v>24364010.184634559</v>
      </c>
    </row>
    <row r="13" spans="1:13" ht="14.65" thickBot="1" x14ac:dyDescent="0.5">
      <c r="D13">
        <v>9</v>
      </c>
      <c r="E13" s="17">
        <v>-5000000</v>
      </c>
      <c r="F13" s="19">
        <f>Table14[[#This Row],[Costs]]*Table14[[#This Row],[Escalation]]/(1+$B$12)^Table14[[#This Row],[Year]]</f>
        <v>-4625862.8133041039</v>
      </c>
      <c r="G13" s="28">
        <f t="shared" si="1"/>
        <v>1.3168090369634029</v>
      </c>
      <c r="H13" s="22">
        <f>$B$9*Table14[[#This Row],[Escalation]]</f>
        <v>0.32130140501907029</v>
      </c>
      <c r="I13" s="25">
        <f t="shared" si="0"/>
        <v>123516000</v>
      </c>
      <c r="J13" s="19">
        <f t="shared" si="2"/>
        <v>39685864.342335485</v>
      </c>
      <c r="K13" s="19">
        <f>J13/(1+$B$12)^Table14[[#This Row],[Year]]</f>
        <v>27882761.876905799</v>
      </c>
      <c r="L13" s="19">
        <f>J13+E13</f>
        <v>34685864.342335485</v>
      </c>
      <c r="M13" s="19">
        <f>L13/(1+$B$12)^D13</f>
        <v>24369828.199011646</v>
      </c>
    </row>
    <row r="14" spans="1:13" x14ac:dyDescent="0.45">
      <c r="A14" s="3" t="s">
        <v>15</v>
      </c>
      <c r="B14" s="14">
        <f>Table14[[#Totals],[Net Discounted Cash Flow]]</f>
        <v>517077044.83633167</v>
      </c>
      <c r="D14">
        <v>10</v>
      </c>
      <c r="E14" s="17">
        <v>-55000000</v>
      </c>
      <c r="F14" s="19">
        <f>Table14[[#This Row],[Costs]]*Table14[[#This Row],[Escalation]]/(1+$B$12)^Table14[[#This Row],[Year]]</f>
        <v>-50639853.970641553</v>
      </c>
      <c r="G14" s="28">
        <f t="shared" si="1"/>
        <v>1.3628973532571218</v>
      </c>
      <c r="H14" s="22">
        <f>$B$9*Table14[[#This Row],[Escalation]]</f>
        <v>0.33254695419473773</v>
      </c>
      <c r="I14" s="25">
        <f t="shared" si="0"/>
        <v>123516000</v>
      </c>
      <c r="J14" s="19">
        <f t="shared" si="2"/>
        <v>41074869.594317228</v>
      </c>
      <c r="K14" s="19">
        <f>J14/(1+$B$12)^Table14[[#This Row],[Year]]</f>
        <v>27748710.137112983</v>
      </c>
      <c r="L14" s="19">
        <f>J14+E14</f>
        <v>-13925130.405682772</v>
      </c>
      <c r="M14" s="19">
        <f>L14/(1+$B$12)^D14</f>
        <v>-9407319.1483059376</v>
      </c>
    </row>
    <row r="15" spans="1:13" ht="14.65" thickBot="1" x14ac:dyDescent="0.5">
      <c r="A15" s="8" t="s">
        <v>16</v>
      </c>
      <c r="B15" s="23">
        <f>-Table14[[#Totals],[Discounted Costs]]/Table14[[#Totals],[Generation (kWh)]]</f>
        <v>0.15911709236376004</v>
      </c>
      <c r="D15">
        <v>11</v>
      </c>
      <c r="E15" s="17">
        <v>-5000000</v>
      </c>
      <c r="F15" s="19">
        <f>Table14[[#This Row],[Costs]]*Table14[[#This Row],[Escalation]]/(1+$B$12)^Table14[[#This Row],[Year]]</f>
        <v>-4581490.2849312946</v>
      </c>
      <c r="G15" s="28">
        <f t="shared" si="1"/>
        <v>1.410598760621121</v>
      </c>
      <c r="H15" s="22">
        <f>$B$9*Table14[[#This Row],[Escalation]]</f>
        <v>0.3441860975915535</v>
      </c>
      <c r="I15" s="25">
        <f t="shared" si="0"/>
        <v>123516000</v>
      </c>
      <c r="J15" s="19">
        <f t="shared" si="2"/>
        <v>42512490.030118324</v>
      </c>
      <c r="K15" s="19">
        <f>J15/(1+$B$12)^Table14[[#This Row],[Year]]</f>
        <v>27615302.876838401</v>
      </c>
      <c r="L15" s="19">
        <f>J15+E15</f>
        <v>37512490.030118324</v>
      </c>
      <c r="M15" s="19">
        <f>L15/(1+$B$12)^D15</f>
        <v>24367398.219022062</v>
      </c>
    </row>
    <row r="16" spans="1:13" x14ac:dyDescent="0.45">
      <c r="D16">
        <v>12</v>
      </c>
      <c r="E16" s="17">
        <v>-5000000</v>
      </c>
      <c r="F16" s="19">
        <f>Table14[[#This Row],[Costs]]*Table14[[#This Row],[Escalation]]/(1+$B$12)^Table14[[#This Row],[Year]]</f>
        <v>-4559463.8893306619</v>
      </c>
      <c r="G16" s="28">
        <f t="shared" si="1"/>
        <v>1.4599697172428601</v>
      </c>
      <c r="H16" s="22">
        <f>$B$9*Table14[[#This Row],[Escalation]]</f>
        <v>0.35623261100725784</v>
      </c>
      <c r="I16" s="25">
        <f t="shared" si="0"/>
        <v>123516000</v>
      </c>
      <c r="J16" s="19">
        <f t="shared" si="2"/>
        <v>44000427.18117246</v>
      </c>
      <c r="K16" s="19">
        <f>J16/(1+$B$12)^Table14[[#This Row],[Year]]</f>
        <v>27482536.997622821</v>
      </c>
      <c r="L16" s="19">
        <f>J16+E16</f>
        <v>39000427.18117246</v>
      </c>
      <c r="M16" s="19">
        <f>L16/(1+$B$12)^D16</f>
        <v>24359551.749722496</v>
      </c>
    </row>
    <row r="17" spans="4:13" x14ac:dyDescent="0.45">
      <c r="D17">
        <v>13</v>
      </c>
      <c r="E17" s="17">
        <v>-5000000</v>
      </c>
      <c r="F17" s="19">
        <f>Table14[[#This Row],[Costs]]*Table14[[#This Row],[Escalation]]/(1+$B$12)^Table14[[#This Row],[Year]]</f>
        <v>-4537543.3898627255</v>
      </c>
      <c r="G17" s="28">
        <f t="shared" si="1"/>
        <v>1.5110686573463601</v>
      </c>
      <c r="H17" s="22">
        <f>$B$9*Table14[[#This Row],[Escalation]]</f>
        <v>0.36870075239251188</v>
      </c>
      <c r="I17" s="25">
        <f t="shared" si="0"/>
        <v>123516000</v>
      </c>
      <c r="J17" s="19">
        <f t="shared" si="2"/>
        <v>45540442.132513493</v>
      </c>
      <c r="K17" s="19">
        <f>J17/(1+$B$12)^Table14[[#This Row],[Year]]</f>
        <v>27350409.415903479</v>
      </c>
      <c r="L17" s="19">
        <f>J17+E17</f>
        <v>40540442.132513493</v>
      </c>
      <c r="M17" s="19">
        <f>L17/(1+$B$12)^D17</f>
        <v>24347538.985230088</v>
      </c>
    </row>
    <row r="18" spans="4:13" x14ac:dyDescent="0.45">
      <c r="D18">
        <v>14</v>
      </c>
      <c r="E18" s="17">
        <v>-5000000</v>
      </c>
      <c r="F18" s="19">
        <f>Table14[[#This Row],[Costs]]*Table14[[#This Row],[Escalation]]/(1+$B$12)^Table14[[#This Row],[Year]]</f>
        <v>-4515728.2774114618</v>
      </c>
      <c r="G18" s="28">
        <f t="shared" si="1"/>
        <v>1.5639560603534826</v>
      </c>
      <c r="H18" s="22">
        <f>$B$9*Table14[[#This Row],[Escalation]]</f>
        <v>0.38160527872624972</v>
      </c>
      <c r="I18" s="25">
        <f t="shared" si="0"/>
        <v>123516000</v>
      </c>
      <c r="J18" s="19">
        <f t="shared" si="2"/>
        <v>47134357.607151464</v>
      </c>
      <c r="K18" s="19">
        <f>J18/(1+$B$12)^Table14[[#This Row],[Year]]</f>
        <v>27218917.062942404</v>
      </c>
      <c r="L18" s="19">
        <f>J18+E18</f>
        <v>42134357.607151464</v>
      </c>
      <c r="M18" s="19">
        <f>L18/(1+$B$12)^D18</f>
        <v>24331541.648833375</v>
      </c>
    </row>
    <row r="19" spans="4:13" x14ac:dyDescent="0.45">
      <c r="D19">
        <v>15</v>
      </c>
      <c r="E19" s="17">
        <v>-5000000</v>
      </c>
      <c r="F19" s="19">
        <f>Table14[[#This Row],[Costs]]*Table14[[#This Row],[Escalation]]/(1+$B$12)^Table14[[#This Row],[Year]]</f>
        <v>-4494018.0453085219</v>
      </c>
      <c r="G19" s="28">
        <f t="shared" si="1"/>
        <v>1.6186945224658542</v>
      </c>
      <c r="H19" s="22">
        <f>$B$9*Table14[[#This Row],[Escalation]]</f>
        <v>0.39496146348166844</v>
      </c>
      <c r="I19" s="25">
        <f t="shared" si="0"/>
        <v>123516000</v>
      </c>
      <c r="J19" s="19">
        <f t="shared" si="2"/>
        <v>48784060.123401761</v>
      </c>
      <c r="K19" s="19">
        <f>J19/(1+$B$12)^Table14[[#This Row],[Year]]</f>
        <v>27088056.884755179</v>
      </c>
      <c r="L19" s="19">
        <f>J19+E19</f>
        <v>43784060.123401761</v>
      </c>
      <c r="M19" s="19">
        <f>L19/(1+$B$12)^D19</f>
        <v>24311734.371188805</v>
      </c>
    </row>
    <row r="20" spans="4:13" x14ac:dyDescent="0.45">
      <c r="D20">
        <v>16</v>
      </c>
      <c r="E20" s="17">
        <v>-5000000</v>
      </c>
      <c r="F20" s="19">
        <f>Table14[[#This Row],[Costs]]*Table14[[#This Row],[Escalation]]/(1+$B$12)^Table14[[#This Row],[Year]]</f>
        <v>-4472412.1893214602</v>
      </c>
      <c r="G20" s="28">
        <f t="shared" si="1"/>
        <v>1.6753488307521589</v>
      </c>
      <c r="H20" s="22">
        <f>$B$9*Table14[[#This Row],[Escalation]]</f>
        <v>0.40878511470352674</v>
      </c>
      <c r="I20" s="25">
        <f t="shared" si="0"/>
        <v>123516000</v>
      </c>
      <c r="J20" s="19">
        <f t="shared" si="2"/>
        <v>50491502.227720812</v>
      </c>
      <c r="K20" s="19">
        <f>J20/(1+$B$12)^Table14[[#This Row],[Year]]</f>
        <v>26957825.842039999</v>
      </c>
      <c r="L20" s="19">
        <f>J20+E20</f>
        <v>45491502.227720812</v>
      </c>
      <c r="M20" s="19">
        <f>L20/(1+$B$12)^D20</f>
        <v>24288284.963610794</v>
      </c>
    </row>
    <row r="21" spans="4:13" x14ac:dyDescent="0.45">
      <c r="D21">
        <v>17</v>
      </c>
      <c r="E21" s="17">
        <v>-5000000</v>
      </c>
      <c r="F21" s="19">
        <f>Table14[[#This Row],[Costs]]*Table14[[#This Row],[Escalation]]/(1+$B$12)^Table14[[#This Row],[Year]]</f>
        <v>-4450910.207642029</v>
      </c>
      <c r="G21" s="28">
        <f t="shared" si="1"/>
        <v>1.7339860398284843</v>
      </c>
      <c r="H21" s="22">
        <f>$B$9*Table14[[#This Row],[Escalation]]</f>
        <v>0.42309259371815017</v>
      </c>
      <c r="I21" s="25">
        <f t="shared" si="0"/>
        <v>123516000</v>
      </c>
      <c r="J21" s="19">
        <f t="shared" si="2"/>
        <v>52258704.805691034</v>
      </c>
      <c r="K21" s="19">
        <f>J21/(1+$B$12)^Table14[[#This Row],[Year]]</f>
        <v>26828220.91010711</v>
      </c>
      <c r="L21" s="19">
        <f>J21+E21</f>
        <v>47258704.805691034</v>
      </c>
      <c r="M21" s="19">
        <f>L21/(1+$B$12)^D21</f>
        <v>24261354.680848259</v>
      </c>
    </row>
    <row r="22" spans="4:13" x14ac:dyDescent="0.45">
      <c r="D22">
        <v>18</v>
      </c>
      <c r="E22" s="17">
        <v>-5000000</v>
      </c>
      <c r="F22" s="19">
        <f>Table14[[#This Row],[Costs]]*Table14[[#This Row],[Escalation]]/(1+$B$12)^Table14[[#This Row],[Year]]</f>
        <v>-4429511.600874519</v>
      </c>
      <c r="G22" s="28">
        <f t="shared" si="1"/>
        <v>1.7946755512224812</v>
      </c>
      <c r="H22" s="22">
        <f>$B$9*Table14[[#This Row],[Escalation]]</f>
        <v>0.43790083449828543</v>
      </c>
      <c r="I22" s="25">
        <f t="shared" si="0"/>
        <v>123516000</v>
      </c>
      <c r="J22" s="19">
        <f t="shared" si="2"/>
        <v>54087759.473890223</v>
      </c>
      <c r="K22" s="19">
        <f>J22/(1+$B$12)^Table14[[#This Row],[Year]]</f>
        <v>26699239.078808516</v>
      </c>
      <c r="L22" s="19">
        <f>J22+E22</f>
        <v>49087759.473890223</v>
      </c>
      <c r="M22" s="19">
        <f>L22/(1+$B$12)^D22</f>
        <v>24231098.473751929</v>
      </c>
    </row>
    <row r="23" spans="4:13" x14ac:dyDescent="0.45">
      <c r="D23">
        <v>19</v>
      </c>
      <c r="E23" s="17">
        <v>-5000000</v>
      </c>
      <c r="F23" s="19">
        <f>Table14[[#This Row],[Costs]]*Table14[[#This Row],[Escalation]]/(1+$B$12)^Table14[[#This Row],[Year]]</f>
        <v>-4408215.8720241608</v>
      </c>
      <c r="G23" s="28">
        <f t="shared" si="1"/>
        <v>1.8574891955152679</v>
      </c>
      <c r="H23" s="22">
        <f>$B$9*Table14[[#This Row],[Escalation]]</f>
        <v>0.45322736370572536</v>
      </c>
      <c r="I23" s="25">
        <f t="shared" si="0"/>
        <v>123516000</v>
      </c>
      <c r="J23" s="19">
        <f t="shared" si="2"/>
        <v>55980831.055476375</v>
      </c>
      <c r="K23" s="19">
        <f>J23/(1+$B$12)^Table14[[#This Row],[Year]]</f>
        <v>26570877.352468088</v>
      </c>
      <c r="L23" s="19">
        <f>J23+E23</f>
        <v>50980831.055476375</v>
      </c>
      <c r="M23" s="19">
        <f>L23/(1+$B$12)^D23</f>
        <v>24197665.232221369</v>
      </c>
    </row>
    <row r="24" spans="4:13" x14ac:dyDescent="0.45">
      <c r="D24">
        <v>20</v>
      </c>
      <c r="E24" s="17">
        <v>-5000000</v>
      </c>
      <c r="F24" s="19">
        <f>Table14[[#This Row],[Costs]]*Table14[[#This Row],[Escalation]]/(1+$B$12)^Table14[[#This Row],[Year]]</f>
        <v>-4387022.5264855819</v>
      </c>
      <c r="G24" s="28">
        <f t="shared" si="1"/>
        <v>1.9225013173583021</v>
      </c>
      <c r="H24" s="22">
        <f>$B$9*Table14[[#This Row],[Escalation]]</f>
        <v>0.46909032143542573</v>
      </c>
      <c r="I24" s="25">
        <f t="shared" si="0"/>
        <v>123516000</v>
      </c>
      <c r="J24" s="19">
        <f t="shared" si="2"/>
        <v>57940160.142418042</v>
      </c>
      <c r="K24" s="19">
        <f>J24/(1+$B$12)^Table14[[#This Row],[Year]]</f>
        <v>26443132.749811988</v>
      </c>
      <c r="L24" s="19">
        <f>J24+E24</f>
        <v>52940160.142418042</v>
      </c>
      <c r="M24" s="19">
        <f>L24/(1+$B$12)^D24</f>
        <v>24161198.01880553</v>
      </c>
    </row>
    <row r="25" spans="4:13" x14ac:dyDescent="0.45">
      <c r="D25">
        <v>21</v>
      </c>
      <c r="E25" s="17">
        <v>-290000000</v>
      </c>
      <c r="F25" s="19">
        <f>Table14[[#This Row],[Costs]]*Table14[[#This Row],[Escalation]]/(1+$B$12)^Table14[[#This Row],[Year]]</f>
        <v>-253224002.17781675</v>
      </c>
      <c r="G25" s="28">
        <f t="shared" si="1"/>
        <v>1.9897888634658425</v>
      </c>
      <c r="H25" s="22">
        <f>$B$9*Table14[[#This Row],[Escalation]]</f>
        <v>0.48550848268566554</v>
      </c>
      <c r="I25" s="26">
        <f t="shared" ref="I25:I29" si="3">$B$7</f>
        <v>123516000</v>
      </c>
      <c r="J25" s="19">
        <f t="shared" si="2"/>
        <v>59968065.747402668</v>
      </c>
      <c r="K25" s="19">
        <f>J25/(1+$B$12)^Table14[[#This Row],[Year]]</f>
        <v>26316002.303899422</v>
      </c>
      <c r="L25" s="19">
        <f>J25+E25</f>
        <v>-230031934.25259733</v>
      </c>
      <c r="M25" s="19">
        <f>L25/(1+$B$12)^D25</f>
        <v>-100945742.30992237</v>
      </c>
    </row>
    <row r="26" spans="4:13" x14ac:dyDescent="0.45">
      <c r="D26">
        <v>22</v>
      </c>
      <c r="E26" s="17">
        <v>-5000000</v>
      </c>
      <c r="F26" s="19">
        <f>Table14[[#This Row],[Costs]]*Table14[[#This Row],[Escalation]]/(1+$B$12)^Table14[[#This Row],[Year]]</f>
        <v>-4344941.0188004039</v>
      </c>
      <c r="G26" s="28">
        <f t="shared" si="1"/>
        <v>2.0594314736871469</v>
      </c>
      <c r="H26" s="22">
        <f>$B$9*Table14[[#This Row],[Escalation]]</f>
        <v>0.50250127957966384</v>
      </c>
      <c r="I26" s="26">
        <f t="shared" si="3"/>
        <v>123516000</v>
      </c>
      <c r="J26" s="19">
        <f t="shared" si="2"/>
        <v>62066948.048561759</v>
      </c>
      <c r="K26" s="19">
        <f>J26/(1+$B$12)^Table14[[#This Row],[Year]]</f>
        <v>26189483.062053755</v>
      </c>
      <c r="L26" s="19">
        <f>J26+E26</f>
        <v>57066948.048561759</v>
      </c>
      <c r="M26" s="19">
        <f>L26/(1+$B$12)^D26</f>
        <v>24079706.128800739</v>
      </c>
    </row>
    <row r="27" spans="4:13" x14ac:dyDescent="0.45">
      <c r="D27">
        <v>23</v>
      </c>
      <c r="E27" s="16">
        <v>-5000000</v>
      </c>
      <c r="F27" s="19">
        <f>Table14[[#This Row],[Costs]]*Table14[[#This Row],[Escalation]]/(1+$B$12)^Table14[[#This Row],[Year]]</f>
        <v>-4324051.8792869402</v>
      </c>
      <c r="G27" s="28">
        <f t="shared" si="1"/>
        <v>2.1315115752661966</v>
      </c>
      <c r="H27" s="22">
        <f>$B$9*Table14[[#This Row],[Escalation]]</f>
        <v>0.52008882436495196</v>
      </c>
      <c r="I27" s="26">
        <f t="shared" si="3"/>
        <v>123516000</v>
      </c>
      <c r="J27" s="19">
        <f t="shared" si="2"/>
        <v>64239291.230261408</v>
      </c>
      <c r="K27" s="19">
        <f>J27/(1+$B$12)^Table14[[#This Row],[Year]]</f>
        <v>26063572.085793875</v>
      </c>
      <c r="L27" s="19">
        <f>J27+E27</f>
        <v>59239291.230261408</v>
      </c>
      <c r="M27" s="19">
        <f>L27/(1+$B$12)^D27</f>
        <v>24034940.41920444</v>
      </c>
    </row>
    <row r="28" spans="4:13" x14ac:dyDescent="0.45">
      <c r="D28">
        <v>24</v>
      </c>
      <c r="E28" s="17">
        <v>-5000000</v>
      </c>
      <c r="F28" s="19">
        <f>Table14[[#This Row],[Costs]]*Table14[[#This Row],[Escalation]]/(1+$B$12)^Table14[[#This Row],[Year]]</f>
        <v>-4303263.1683288291</v>
      </c>
      <c r="G28" s="28">
        <f t="shared" si="1"/>
        <v>2.2061144804005135</v>
      </c>
      <c r="H28" s="22">
        <f>$B$9*Table14[[#This Row],[Escalation]]</f>
        <v>0.53829193321772528</v>
      </c>
      <c r="I28" s="26">
        <f t="shared" si="3"/>
        <v>123516000</v>
      </c>
      <c r="J28" s="19">
        <f t="shared" si="2"/>
        <v>66487666.423320554</v>
      </c>
      <c r="K28" s="19">
        <f>J28/(1+$B$12)^Table14[[#This Row],[Year]]</f>
        <v>25938266.45076602</v>
      </c>
      <c r="L28" s="19">
        <f>J28+E28</f>
        <v>61487666.423320554</v>
      </c>
      <c r="M28" s="19">
        <f>L28/(1+$B$12)^D28</f>
        <v>23987659.079045407</v>
      </c>
    </row>
    <row r="29" spans="4:13" x14ac:dyDescent="0.45">
      <c r="D29">
        <v>25</v>
      </c>
      <c r="E29" s="17">
        <v>-5000000</v>
      </c>
      <c r="F29" s="19">
        <f>Table14[[#This Row],[Costs]]*Table14[[#This Row],[Escalation]]/(1+$B$12)^Table14[[#This Row],[Year]]</f>
        <v>-4282574.4030964784</v>
      </c>
      <c r="G29" s="28">
        <f t="shared" si="1"/>
        <v>2.2833284872145314</v>
      </c>
      <c r="H29" s="22">
        <f>$B$9*Table14[[#This Row],[Escalation]]</f>
        <v>0.55713215088034562</v>
      </c>
      <c r="I29" s="26">
        <f t="shared" si="3"/>
        <v>123516000</v>
      </c>
      <c r="J29" s="19">
        <f t="shared" si="2"/>
        <v>68814734.748136774</v>
      </c>
      <c r="K29" s="19">
        <f>J29/(1+$B$12)^Table14[[#This Row],[Year]]</f>
        <v>25813563.246675793</v>
      </c>
      <c r="L29" s="19">
        <f>J29+E29</f>
        <v>63814734.748136774</v>
      </c>
      <c r="M29" s="19">
        <f>L29/(1+$B$12)^D29</f>
        <v>23937979.235405974</v>
      </c>
    </row>
    <row r="30" spans="4:13" x14ac:dyDescent="0.45">
      <c r="D30">
        <v>26</v>
      </c>
      <c r="E30" s="17">
        <v>-5000000</v>
      </c>
      <c r="F30" s="19">
        <f>Table14[[#This Row],[Costs]]*Table14[[#This Row],[Escalation]]/(1+$B$12)^Table14[[#This Row],[Year]]</f>
        <v>-4261985.1030815914</v>
      </c>
      <c r="G30" s="28">
        <f t="shared" si="1"/>
        <v>2.3632449842670398</v>
      </c>
      <c r="H30" s="22">
        <f>$B$9*Table14[[#This Row],[Escalation]]</f>
        <v>0.57663177616115768</v>
      </c>
      <c r="I30" s="26">
        <f t="shared" ref="I30:I34" si="4">$B$7</f>
        <v>123516000</v>
      </c>
      <c r="J30" s="19">
        <f t="shared" si="2"/>
        <v>71223250.464321554</v>
      </c>
      <c r="K30" s="19">
        <f>J30/(1+$B$12)^Table14[[#This Row],[Year]]</f>
        <v>25689459.577220619</v>
      </c>
      <c r="L30" s="19">
        <f>J30+E30</f>
        <v>66223250.464321554</v>
      </c>
      <c r="M30" s="19">
        <f>L30/(1+$B$12)^D30</f>
        <v>23886013.4125381</v>
      </c>
    </row>
    <row r="31" spans="4:13" x14ac:dyDescent="0.45">
      <c r="D31">
        <v>27</v>
      </c>
      <c r="E31" s="17">
        <v>-5000000</v>
      </c>
      <c r="F31" s="19">
        <f>Table14[[#This Row],[Costs]]*Table14[[#This Row],[Escalation]]/(1+$B$12)^Table14[[#This Row],[Year]]</f>
        <v>-4241494.7900860067</v>
      </c>
      <c r="G31" s="28">
        <f t="shared" si="1"/>
        <v>2.4459585587163861</v>
      </c>
      <c r="H31" s="22">
        <f>$B$9*Table14[[#This Row],[Escalation]]</f>
        <v>0.59681388832679816</v>
      </c>
      <c r="I31" s="26">
        <f t="shared" si="4"/>
        <v>123516000</v>
      </c>
      <c r="J31" s="19">
        <f t="shared" si="2"/>
        <v>73716064.230572805</v>
      </c>
      <c r="K31" s="19">
        <f>J31/(1+$B$12)^Table14[[#This Row],[Year]]</f>
        <v>25565952.560022444</v>
      </c>
      <c r="L31" s="19">
        <f>J31+E31</f>
        <v>68716064.230572805</v>
      </c>
      <c r="M31" s="19">
        <f>L31/(1+$B$12)^D31</f>
        <v>23831869.709366173</v>
      </c>
    </row>
    <row r="32" spans="4:13" x14ac:dyDescent="0.45">
      <c r="D32">
        <v>28</v>
      </c>
      <c r="E32" s="17">
        <v>-5000000</v>
      </c>
      <c r="F32" s="19">
        <f>Table14[[#This Row],[Costs]]*Table14[[#This Row],[Escalation]]/(1+$B$12)^Table14[[#This Row],[Year]]</f>
        <v>-4221102.9882105915</v>
      </c>
      <c r="G32" s="28">
        <f t="shared" si="1"/>
        <v>2.5315671082714593</v>
      </c>
      <c r="H32" s="22">
        <f>$B$9*Table14[[#This Row],[Escalation]]</f>
        <v>0.61770237441823606</v>
      </c>
      <c r="I32" s="26">
        <f t="shared" si="4"/>
        <v>123516000</v>
      </c>
      <c r="J32" s="19">
        <f t="shared" si="2"/>
        <v>76296126.478642851</v>
      </c>
      <c r="K32" s="19">
        <f>J32/(1+$B$12)^Table14[[#This Row],[Year]]</f>
        <v>25443039.326560788</v>
      </c>
      <c r="L32" s="19">
        <f>J32+E32</f>
        <v>71296126.478642851</v>
      </c>
      <c r="M32" s="19">
        <f>L32/(1+$B$12)^D32</f>
        <v>23775651.970160533</v>
      </c>
    </row>
    <row r="33" spans="4:13" x14ac:dyDescent="0.45">
      <c r="D33">
        <v>29</v>
      </c>
      <c r="E33" s="17">
        <v>-5000000</v>
      </c>
      <c r="F33" s="19">
        <f>Table14[[#This Row],[Costs]]*Table14[[#This Row],[Escalation]]/(1+$B$12)^Table14[[#This Row],[Year]]</f>
        <v>-4200809.2238441939</v>
      </c>
      <c r="G33" s="28">
        <f t="shared" si="1"/>
        <v>2.6201719570609603</v>
      </c>
      <c r="H33" s="22">
        <f>$B$9*Table14[[#This Row],[Escalation]]</f>
        <v>0.63932195752287435</v>
      </c>
      <c r="I33" s="26">
        <f t="shared" si="4"/>
        <v>123516000</v>
      </c>
      <c r="J33" s="19">
        <f t="shared" si="2"/>
        <v>78966490.905395344</v>
      </c>
      <c r="K33" s="19">
        <f>J33/(1+$B$12)^Table14[[#This Row],[Year]]</f>
        <v>25320717.022106167</v>
      </c>
      <c r="L33" s="19">
        <f>J33+E33</f>
        <v>73966490.905395344</v>
      </c>
      <c r="M33" s="19">
        <f>L33/(1+$B$12)^D33</f>
        <v>23717459.948644381</v>
      </c>
    </row>
    <row r="34" spans="4:13" x14ac:dyDescent="0.45">
      <c r="D34">
        <v>30</v>
      </c>
      <c r="E34" s="17">
        <v>-5000000</v>
      </c>
      <c r="F34" s="19">
        <f>Table14[[#This Row],[Costs]]*Table14[[#This Row],[Escalation]]/(1+$B$12)^Table14[[#This Row],[Year]]</f>
        <v>-4180613.0256526354</v>
      </c>
      <c r="G34" s="28">
        <f t="shared" si="1"/>
        <v>2.7118779755580937</v>
      </c>
      <c r="H34" s="22">
        <f>$B$9*Table14[[#This Row],[Escalation]]</f>
        <v>0.6616982260361749</v>
      </c>
      <c r="I34" s="26">
        <f t="shared" si="4"/>
        <v>123516000</v>
      </c>
      <c r="J34" s="19">
        <f t="shared" si="2"/>
        <v>81730318.087084174</v>
      </c>
      <c r="K34" s="19">
        <f>J34/(1+$B$12)^Table14[[#This Row],[Year]]</f>
        <v>25198982.805653736</v>
      </c>
      <c r="L34" s="19">
        <f>J34+E34</f>
        <v>76730318.087084174</v>
      </c>
      <c r="M34" s="19">
        <f>L34/(1+$B$12)^D34</f>
        <v>23657389.465786632</v>
      </c>
    </row>
    <row r="35" spans="4:13" x14ac:dyDescent="0.45">
      <c r="D35">
        <v>31</v>
      </c>
      <c r="E35" s="17">
        <v>-55000000</v>
      </c>
      <c r="F35" s="19">
        <f>Table14[[#This Row],[Costs]]*Table14[[#This Row],[Escalation]]/(1+$B$12)^Table14[[#This Row],[Year]]</f>
        <v>-45765653.170245431</v>
      </c>
      <c r="G35" s="28">
        <f t="shared" si="1"/>
        <v>2.8067937047026268</v>
      </c>
      <c r="H35" s="22">
        <f>$B$9*Table14[[#This Row],[Escalation]]</f>
        <v>0.68485766394744096</v>
      </c>
      <c r="I35" s="26">
        <f t="shared" ref="I35:I39" si="5">$B$7</f>
        <v>123516000</v>
      </c>
      <c r="J35" s="19">
        <f t="shared" si="2"/>
        <v>84590879.220132113</v>
      </c>
      <c r="K35" s="19">
        <f>J35/(1+$B$12)^Table14[[#This Row],[Year]]</f>
        <v>25077833.849857319</v>
      </c>
      <c r="L35" s="19">
        <f>J35+E35</f>
        <v>29590879.220132113</v>
      </c>
      <c r="M35" s="19">
        <f>L35/(1+$B$12)^D35</f>
        <v>8772519.6781860534</v>
      </c>
    </row>
    <row r="36" spans="4:13" x14ac:dyDescent="0.45">
      <c r="D36">
        <v>32</v>
      </c>
      <c r="E36" s="17">
        <v>-5000000</v>
      </c>
      <c r="F36" s="19">
        <f>Table14[[#This Row],[Costs]]*Table14[[#This Row],[Escalation]]/(1+$B$12)^Table14[[#This Row],[Year]]</f>
        <v>-4140511.4537765752</v>
      </c>
      <c r="G36" s="28">
        <f t="shared" si="1"/>
        <v>2.9050314843672185</v>
      </c>
      <c r="H36" s="22">
        <f>$B$9*Table14[[#This Row],[Escalation]]</f>
        <v>0.70882768218560133</v>
      </c>
      <c r="I36" s="26">
        <f t="shared" si="5"/>
        <v>123516000</v>
      </c>
      <c r="J36" s="19">
        <f t="shared" si="2"/>
        <v>87551559.992836729</v>
      </c>
      <c r="K36" s="19">
        <f>J36/(1+$B$12)^Table14[[#This Row],[Year]]</f>
        <v>24957267.34096377</v>
      </c>
      <c r="L36" s="19">
        <f>J36+E36</f>
        <v>82551559.992836729</v>
      </c>
      <c r="M36" s="19">
        <f>L36/(1+$B$12)^D36</f>
        <v>23531977.640642855</v>
      </c>
    </row>
    <row r="37" spans="4:13" x14ac:dyDescent="0.45">
      <c r="D37">
        <v>33</v>
      </c>
      <c r="E37" s="17">
        <v>-5000000</v>
      </c>
      <c r="F37" s="19">
        <f>Table14[[#This Row],[Costs]]*Table14[[#This Row],[Escalation]]/(1+$B$12)^Table14[[#This Row],[Year]]</f>
        <v>-4120605.1487103407</v>
      </c>
      <c r="G37" s="28">
        <f t="shared" si="1"/>
        <v>3.0067075863200707</v>
      </c>
      <c r="H37" s="22">
        <f>$B$9*Table14[[#This Row],[Escalation]]</f>
        <v>0.73363665106209719</v>
      </c>
      <c r="I37" s="26">
        <f t="shared" si="5"/>
        <v>123516000</v>
      </c>
      <c r="J37" s="19">
        <f t="shared" si="2"/>
        <v>90615864.592585996</v>
      </c>
      <c r="K37" s="19">
        <f>J37/(1+$B$12)^Table14[[#This Row],[Year]]</f>
        <v>24837280.478747591</v>
      </c>
      <c r="L37" s="19">
        <f>J37+E37</f>
        <v>85615864.592585996</v>
      </c>
      <c r="M37" s="19">
        <f>L37/(1+$B$12)^D37</f>
        <v>23466809.613054406</v>
      </c>
    </row>
    <row r="38" spans="4:13" x14ac:dyDescent="0.45">
      <c r="D38">
        <v>34</v>
      </c>
      <c r="E38" s="17">
        <v>-5000000</v>
      </c>
      <c r="F38" s="19">
        <f>Table14[[#This Row],[Costs]]*Table14[[#This Row],[Escalation]]/(1+$B$12)^Table14[[#This Row],[Year]]</f>
        <v>-4100794.5470338482</v>
      </c>
      <c r="G38" s="28">
        <f t="shared" si="1"/>
        <v>3.111942351841273</v>
      </c>
      <c r="H38" s="22">
        <f>$B$9*Table14[[#This Row],[Escalation]]</f>
        <v>0.75931393384927059</v>
      </c>
      <c r="I38" s="26">
        <f t="shared" si="5"/>
        <v>123516000</v>
      </c>
      <c r="J38" s="19">
        <f t="shared" si="2"/>
        <v>93787419.853326499</v>
      </c>
      <c r="K38" s="19">
        <f>J38/(1+$B$12)^Table14[[#This Row],[Year]]</f>
        <v>24717870.476445917</v>
      </c>
      <c r="L38" s="19">
        <f>J38+E38</f>
        <v>88787419.853326499</v>
      </c>
      <c r="M38" s="19">
        <f>L38/(1+$B$12)^D38</f>
        <v>23400110.028664008</v>
      </c>
    </row>
    <row r="39" spans="4:13" x14ac:dyDescent="0.45">
      <c r="D39">
        <v>35</v>
      </c>
      <c r="E39" s="17">
        <v>-5000000</v>
      </c>
      <c r="F39" s="19">
        <f>Table14[[#This Row],[Costs]]*Table14[[#This Row],[Escalation]]/(1+$B$12)^Table14[[#This Row],[Year]]</f>
        <v>-4081079.1886346466</v>
      </c>
      <c r="G39" s="28">
        <f t="shared" si="1"/>
        <v>3.2208603341557174</v>
      </c>
      <c r="H39" s="22">
        <f>$B$9*Table14[[#This Row],[Escalation]]</f>
        <v>0.78588992153399506</v>
      </c>
      <c r="I39" s="26">
        <f t="shared" si="5"/>
        <v>123516000</v>
      </c>
      <c r="J39" s="19">
        <f t="shared" si="2"/>
        <v>97069979.548192933</v>
      </c>
      <c r="K39" s="19">
        <f>J39/(1+$B$12)^Table14[[#This Row],[Year]]</f>
        <v>24599034.560693774</v>
      </c>
      <c r="L39" s="19">
        <f>J39+E39</f>
        <v>92069979.548192933</v>
      </c>
      <c r="M39" s="19">
        <f>L39/(1+$B$12)^D39</f>
        <v>23331957.207057323</v>
      </c>
    </row>
    <row r="40" spans="4:13" x14ac:dyDescent="0.45">
      <c r="D40">
        <v>36</v>
      </c>
      <c r="E40" s="17">
        <v>-5000000</v>
      </c>
      <c r="F40" s="19">
        <f>Table14[[#This Row],[Costs]]*Table14[[#This Row],[Escalation]]/(1+$B$12)^Table14[[#This Row],[Year]]</f>
        <v>-4061458.6156123644</v>
      </c>
      <c r="G40" s="28">
        <f t="shared" si="1"/>
        <v>3.3335904458511671</v>
      </c>
      <c r="H40" s="22">
        <f>$B$9*Table14[[#This Row],[Escalation]]</f>
        <v>0.81339606878768478</v>
      </c>
      <c r="I40" s="26">
        <f>$B$7</f>
        <v>123516000</v>
      </c>
      <c r="J40" s="19">
        <f t="shared" si="2"/>
        <v>100467428.83237967</v>
      </c>
      <c r="K40" s="19">
        <f>J40/(1+$B$12)^Table14[[#This Row],[Year]]</f>
        <v>24480769.971459668</v>
      </c>
      <c r="L40" s="19">
        <f>J40+E40</f>
        <v>95467428.832379669</v>
      </c>
      <c r="M40" s="19">
        <f>L40/(1+$B$12)^D40</f>
        <v>23262426.362193849</v>
      </c>
    </row>
    <row r="41" spans="4:13" x14ac:dyDescent="0.45">
      <c r="D41">
        <v>37</v>
      </c>
      <c r="E41" s="17">
        <v>-5000000</v>
      </c>
      <c r="F41" s="19">
        <f>Table14[[#This Row],[Costs]]*Table14[[#This Row],[Escalation]]/(1+$B$12)^Table14[[#This Row],[Year]]</f>
        <v>-4041932.3722680728</v>
      </c>
      <c r="G41" s="28">
        <f t="shared" si="1"/>
        <v>3.4502661114559579</v>
      </c>
      <c r="H41" s="22">
        <f>$B$9*Table14[[#This Row],[Escalation]]</f>
        <v>0.84186493119525374</v>
      </c>
      <c r="I41" s="26">
        <f t="shared" ref="I41:I42" si="6">$B$7</f>
        <v>123516000</v>
      </c>
      <c r="J41" s="19">
        <f t="shared" si="2"/>
        <v>103983788.84151296</v>
      </c>
      <c r="K41" s="19">
        <f>J41/(1+$B$12)^Table14[[#This Row],[Year]]</f>
        <v>24363073.96198149</v>
      </c>
      <c r="L41" s="19">
        <f>J41+E41</f>
        <v>98983788.841512963</v>
      </c>
      <c r="M41" s="19">
        <f>L41/(1+$B$12)^D41</f>
        <v>23191589.722302817</v>
      </c>
    </row>
    <row r="42" spans="4:13" x14ac:dyDescent="0.45">
      <c r="D42">
        <v>38</v>
      </c>
      <c r="E42" s="17">
        <v>-5000000</v>
      </c>
      <c r="F42" s="19">
        <f>Table14[[#This Row],[Costs]]*Table14[[#This Row],[Escalation]]/(1+$B$12)^Table14[[#This Row],[Year]]</f>
        <v>-4022500.0050937077</v>
      </c>
      <c r="G42" s="28">
        <f t="shared" si="1"/>
        <v>3.571025425356916</v>
      </c>
      <c r="H42" s="22">
        <f>$B$9*Table14[[#This Row],[Escalation]]</f>
        <v>0.87133020378708748</v>
      </c>
      <c r="I42" s="26">
        <f t="shared" si="6"/>
        <v>123516000</v>
      </c>
      <c r="J42" s="19">
        <f t="shared" si="2"/>
        <v>107623221.4509659</v>
      </c>
      <c r="K42" s="19">
        <f>J42/(1+$B$12)^Table14[[#This Row],[Year]]</f>
        <v>24245943.798702732</v>
      </c>
      <c r="L42" s="19">
        <f>J42+E42</f>
        <v>102623221.4509659</v>
      </c>
      <c r="M42" s="19">
        <f>L42/(1+$B$12)^D42</f>
        <v>23119516.645165548</v>
      </c>
    </row>
    <row r="43" spans="4:13" x14ac:dyDescent="0.45">
      <c r="D43">
        <v>39</v>
      </c>
      <c r="E43" s="17">
        <v>-5000000</v>
      </c>
      <c r="F43" s="19">
        <f>Table14[[#This Row],[Costs]]*Table14[[#This Row],[Escalation]]/(1+$B$12)^Table14[[#This Row],[Year]]</f>
        <v>-4003161.0627615261</v>
      </c>
      <c r="G43" s="28">
        <f t="shared" si="1"/>
        <v>3.6960113152444078</v>
      </c>
      <c r="H43" s="22">
        <f>$B$9*Table14[[#This Row],[Escalation]]</f>
        <v>0.90182676091963554</v>
      </c>
      <c r="I43" s="26">
        <f>$B$7</f>
        <v>123516000</v>
      </c>
      <c r="J43" s="19">
        <f t="shared" si="2"/>
        <v>111390034.2017497</v>
      </c>
      <c r="K43" s="19">
        <f>J43/(1+$B$12)^Table14[[#This Row],[Year]]</f>
        <v>24129376.76120897</v>
      </c>
      <c r="L43" s="19">
        <f>J43+E43</f>
        <v>106390034.2017497</v>
      </c>
      <c r="M43" s="19">
        <f>L43/(1+$B$12)^D43</f>
        <v>23046273.728961676</v>
      </c>
    </row>
    <row r="44" spans="4:13" x14ac:dyDescent="0.45">
      <c r="D44">
        <v>40</v>
      </c>
      <c r="E44" s="17">
        <v>-5000000</v>
      </c>
      <c r="F44" s="19">
        <f>Table14[[#This Row],[Costs]]*Table14[[#This Row],[Escalation]]/(1+$B$12)^Table14[[#This Row],[Year]]</f>
        <v>-3983915.0961136324</v>
      </c>
      <c r="G44" s="28">
        <f t="shared" si="1"/>
        <v>3.8253717112779619</v>
      </c>
      <c r="H44" s="22">
        <f>$B$9*Table14[[#This Row],[Escalation]]</f>
        <v>0.93339069755182269</v>
      </c>
      <c r="I44" s="26">
        <f>$B$7</f>
        <v>123516000</v>
      </c>
      <c r="J44" s="19">
        <f t="shared" si="2"/>
        <v>115288685.39881094</v>
      </c>
      <c r="K44" s="19">
        <f>J44/(1+$B$12)^Table14[[#This Row],[Year]]</f>
        <v>24013370.142164689</v>
      </c>
      <c r="L44" s="19">
        <f>J44+E44</f>
        <v>110288685.39881094</v>
      </c>
      <c r="M44" s="19">
        <f>L44/(1+$B$12)^D44</f>
        <v>22971924.918849982</v>
      </c>
    </row>
    <row r="45" spans="4:13" x14ac:dyDescent="0.45">
      <c r="D45">
        <v>41</v>
      </c>
      <c r="E45" s="17">
        <v>-5000000</v>
      </c>
      <c r="F45" s="19">
        <f>Table14[[#This Row],[Costs]]*Table14[[#This Row],[Escalation]]/(1+$B$12)^Table14[[#This Row],[Year]]</f>
        <v>-3964761.6581515479</v>
      </c>
      <c r="G45" s="28">
        <f t="shared" si="1"/>
        <v>3.9592597211726903</v>
      </c>
      <c r="H45" s="22">
        <f>$B$9*Table14[[#This Row],[Escalation]]</f>
        <v>0.96605937196613645</v>
      </c>
      <c r="I45" s="26">
        <f>$B$7</f>
        <v>123516000</v>
      </c>
      <c r="J45" s="19">
        <f t="shared" si="2"/>
        <v>119323789.38776931</v>
      </c>
      <c r="K45" s="19">
        <f>J45/(1+$B$12)^Table14[[#This Row],[Year]]</f>
        <v>23897921.247250434</v>
      </c>
      <c r="L45" s="19">
        <f>J45+E45</f>
        <v>114323789.38776931</v>
      </c>
      <c r="M45" s="19">
        <f>L45/(1+$B$12)^D45</f>
        <v>22896531.609447833</v>
      </c>
    </row>
    <row r="46" spans="4:13" x14ac:dyDescent="0.45">
      <c r="D46">
        <f>SUBTOTAL(104,Table14[Year])</f>
        <v>41</v>
      </c>
      <c r="E46" s="20">
        <f>SUBTOTAL(109,Table14[Costs])</f>
        <v>-880000000</v>
      </c>
      <c r="F46" s="20">
        <f>SUBTOTAL(109,Table14[Discounted Costs])</f>
        <v>-805793777.99648964</v>
      </c>
      <c r="G46" s="20"/>
      <c r="H46" s="20"/>
      <c r="I46" s="27">
        <f>SUBTOTAL(109,Table14[Generation (kWh)])</f>
        <v>5064156000</v>
      </c>
      <c r="J46" s="20">
        <f>SUBTOTAL(109,Table14[Revenues])</f>
        <v>2667491943.3240414</v>
      </c>
      <c r="K46" s="20">
        <f>SUBTOTAL(109,Table14[Discounted Revenues])</f>
        <v>1080711101.8191326</v>
      </c>
      <c r="L46" s="20">
        <f>SUBTOTAL(109,Table14[Net Nominal Cash Flow])</f>
        <v>1787491943.3240409</v>
      </c>
      <c r="M46" s="20">
        <f>SUBTOTAL(109,Table14[Net Discounted Cash Flow])</f>
        <v>517077044.83633167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Solution</vt:lpstr>
      <vt:lpstr>Solution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 Kane</cp:lastModifiedBy>
  <dcterms:created xsi:type="dcterms:W3CDTF">2018-03-14T14:36:27Z</dcterms:created>
  <dcterms:modified xsi:type="dcterms:W3CDTF">2020-05-09T16:21:44Z</dcterms:modified>
</cp:coreProperties>
</file>