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8.xml" ContentType="application/vnd.openxmlformats-officedocument.spreadsheetml.comments+xml"/>
  <Override PartName="/xl/comments20.xml" ContentType="application/vnd.openxmlformats-officedocument.spreadsheetml.comment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16.xml" ContentType="application/vnd.openxmlformats-officedocument.spreadsheetml.comments+xml"/>
  <Override PartName="/xl/comments23.xml" ContentType="application/vnd.openxmlformats-officedocument.spreadsheetml.comments+xml"/>
  <Override PartName="/xl/comments21.xml" ContentType="application/vnd.openxmlformats-officedocument.spreadsheetml.comments+xml"/>
  <Override PartName="/xl/comments19.xml" ContentType="application/vnd.openxmlformats-officedocument.spreadsheetml.comment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24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23.xml.rels" ContentType="application/vnd.openxmlformats-package.relationships+xml"/>
  <Override PartName="/xl/worksheets/_rels/sheet3.xml.rels" ContentType="application/vnd.openxmlformats-package.relationships+xml"/>
  <Override PartName="/xl/worksheets/_rels/sheet21.xml.rels" ContentType="application/vnd.openxmlformats-package.relationships+xml"/>
  <Override PartName="/xl/worksheets/_rels/sheet19.xml.rels" ContentType="application/vnd.openxmlformats-package.relationships+xml"/>
  <Override PartName="/xl/worksheets/_rels/sheet2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5.xml" ContentType="application/vnd.openxmlformats-officedocument.spreadsheetml.worksheet+xml"/>
  <Override PartName="/xl/worksheets/sheet2.xml" ContentType="application/vnd.openxmlformats-officedocument.spreadsheetml.worksheet+xml"/>
  <Override PartName="/xl/worksheets/sheet24.xml" ContentType="application/vnd.openxmlformats-officedocument.spreadsheetml.worksheet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14.xml" ContentType="application/vnd.openxmlformats-officedocument.spreadsheetml.comments+xml"/>
  <Override PartName="/xl/comments24.xml" ContentType="application/vnd.openxmlformats-officedocument.spreadsheetml.comments+xml"/>
  <Override PartName="/xl/drawings/vmlDrawing13.vml" ContentType="application/vnd.openxmlformats-officedocument.vmlDrawing"/>
  <Override PartName="/xl/drawings/vmlDrawing12.vml" ContentType="application/vnd.openxmlformats-officedocument.vmlDrawing"/>
  <Override PartName="/xl/drawings/vmlDrawing15.vml" ContentType="application/vnd.openxmlformats-officedocument.vmlDrawing"/>
  <Override PartName="/xl/drawings/vmlDrawing1.vml" ContentType="application/vnd.openxmlformats-officedocument.vmlDrawing"/>
  <Override PartName="/xl/drawings/vmlDrawing14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13.xml" ContentType="application/vnd.openxmlformats-officedocument.spreadsheetml.comments+xml"/>
  <Override PartName="/xl/comments5.xml" ContentType="application/vnd.openxmlformats-officedocument.spreadsheetml.comments+xml"/>
  <Override PartName="/xl/comments1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Шаблон" sheetId="1" state="visible" r:id="rId3"/>
    <sheet name="Разнисты" sheetId="2" state="visible" r:id="rId4"/>
    <sheet name="Общий список" sheetId="3" state="visible" r:id="rId5"/>
    <sheet name="06" sheetId="4" state="visible" r:id="rId6"/>
    <sheet name="07" sheetId="5" state="visible" r:id="rId7"/>
    <sheet name="08" sheetId="6" state="visible" r:id="rId8"/>
    <sheet name="09" sheetId="7" state="visible" r:id="rId9"/>
    <sheet name="10" sheetId="8" state="visible" r:id="rId10"/>
    <sheet name="11" sheetId="9" state="visible" r:id="rId11"/>
    <sheet name="12" sheetId="10" state="visible" r:id="rId12"/>
    <sheet name="13" sheetId="11" state="visible" r:id="rId13"/>
    <sheet name="14" sheetId="12" state="visible" r:id="rId14"/>
    <sheet name="15" sheetId="13" state="visible" r:id="rId15"/>
    <sheet name="16" sheetId="14" state="visible" r:id="rId16"/>
    <sheet name="17" sheetId="15" state="visible" r:id="rId17"/>
    <sheet name="18" sheetId="16" state="visible" r:id="rId18"/>
    <sheet name="19" sheetId="17" state="visible" r:id="rId19"/>
    <sheet name="20" sheetId="18" state="visible" r:id="rId20"/>
    <sheet name="21" sheetId="19" state="visible" r:id="rId21"/>
    <sheet name="22" sheetId="20" state="visible" r:id="rId22"/>
    <sheet name="23" sheetId="21" state="visible" r:id="rId23"/>
    <sheet name="24" sheetId="22" state="visible" r:id="rId24"/>
    <sheet name="30" sheetId="23" state="visible" r:id="rId25"/>
    <sheet name="31" sheetId="24" state="visible" r:id="rId26"/>
    <sheet name="32" sheetId="25" state="visible" r:id="rId2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L2" authorId="0">
      <text>
        <r>
          <rPr>
            <sz val="10"/>
            <rFont val="Arial"/>
            <family val="2"/>
          </rPr>
          <t xml:space="preserve">компенсация за 01.01.2025
дистант</t>
        </r>
      </text>
    </comment>
    <comment ref="R4" authorId="0">
      <text>
        <r>
          <rPr>
            <sz val="10"/>
            <rFont val="Arial"/>
            <family val="2"/>
          </rPr>
          <t xml:space="preserve">1.
+ cd -
2.
+ umask
3.
+ жесткая/символические ссылки
4.1 - ?
4.2 
+ ls -d
+ mkdir -p/-m
+ ls -la что за время указано?
+ как переименовать директорию?
-/+ mv почему инод не меняется при перемещении
+ sticky bit / suid / sgid
Доп</t>
        </r>
      </text>
    </comment>
    <comment ref="R5" authorId="0">
      <text>
        <r>
          <rPr>
            <sz val="10"/>
            <rFont val="Arial"/>
            <family val="2"/>
          </rPr>
          <t xml:space="preserve">1.
+ cd .. / . / ~ / - /
+ echo -e
+ `` vs '' vs ""
+ Экранирование
2.
+ umask и сценарий его использования
+ 4.3 - починить
+ 4.4 - почему не выводится
5.
+ rm -f
+ доп:
Посчитать максимальную глубину переданной относительным путем директории для выполнения 4.1 и 4.6 заданий, использовать for
+ stat - все поля</t>
        </r>
      </text>
    </comment>
    <comment ref="R6" authorId="0">
      <text>
        <r>
          <rPr>
            <sz val="10"/>
            <rFont val="Arial"/>
            <family val="2"/>
          </rPr>
          <t xml:space="preserve">1.
+ что такое конвеер
+ 2&gt;1 vs 2&gt;&amp;1
+ флаги mkdir
2.
+ для чего используются ssh ключи - плюсы и минусы. как сгенерировать ключик и как переносить между устройствами. кодировки ssh ключей
+ какими логическими операциями применяется umask
3.
+ директория - это файл или не файл
</t>
        </r>
      </text>
    </comment>
    <comment ref="R7" authorId="0">
      <text>
        <r>
          <rPr>
            <sz val="10"/>
            <rFont val="Arial"/>
            <family val="2"/>
          </rPr>
          <t xml:space="preserve">3.
cp флаги
4.1
+ убрать хардкод чтобы работало при добавлении новых директорий с файлами
+ Что такое команда
+ Скрытые файлы и директории
+ history изнутри
+ cd -; cd - и логика -
+ можно ли создать жесткую ссылку на символьную
+ stat, что за цифра указана при выводе
+ древо директорий Linux
+ Доп:
Написать скрипт, который сгруппирует файлы по дате создания по директориям.</t>
        </r>
      </text>
    </comment>
    <comment ref="R8" authorId="0">
      <text>
        <r>
          <rPr>
            <sz val="10"/>
            <rFont val="Arial"/>
            <family val="2"/>
          </rPr>
          <t xml:space="preserve">1.
+ echo -e
+ \n \t и другие \*....
+ звук
3.
+ ln / ln -s / ln -p
+/- флаги в cp
4.
+ разобраться с пунктами до
+ рекурсивное установление прав
+ Доп</t>
        </r>
      </text>
    </comment>
    <comment ref="R9" authorId="0">
      <text>
        <r>
          <rPr>
            <sz val="10"/>
            <rFont val="Arial"/>
            <family val="2"/>
          </rPr>
          <t xml:space="preserve">1.
+ &gt; vs &gt;&gt;
+ ' ' vs " " vs ` `
2.
+ chmod через + и -
+ umask
+/? какая побитовая операция используется umask
3.
+/--- inode
+++/- heredoc
+ Доп</t>
        </r>
      </text>
    </comment>
    <comment ref="R10" authorId="0">
      <text>
        <r>
          <rPr>
            <sz val="10"/>
            <rFont val="Arial"/>
            <family val="2"/>
          </rPr>
          <t xml:space="preserve">1.
+ echo -e
+ `` vs '' vs "", экранирование
+ как создать файл с пробелом + без кавычек
2.
+ umask и как им пользоваться
4.
+ домашняя директория vs корневая директория
+ какой командой задать домашнюю директорию юзеру
5.
+ все флаги rm
+/-- сколько создается ссылок при создании директории и файла
+ stat - колонки. акцент на даты
+ sticky bit / suid / sgid
+ Доп</t>
        </r>
      </text>
    </comment>
    <comment ref="R11" authorId="0">
      <text>
        <r>
          <rPr>
            <sz val="10"/>
            <rFont val="Arial"/>
            <family val="2"/>
          </rPr>
          <t xml:space="preserve">+ выполнение
1.
+ переменные окружения, для чего используются в безопасности
+ heredoc
2.
+ значение  циферок chmod
+ umask
+ stat + значение дат
3.
+ vi vs vim vs nano vs neovim
+ какработать с vi
+ inode
+ разница между жесткой ссылкой и символической - нарисовать диаграмму работы символической ссылки и жесткой ссылки - что внутри символической ссылки
+ расширение файла .sh
4.1
+ в порядке убывания
-/+ chmod на dir/file для cat dir/file
- создать копию символической ссылки без cp и ln -s
+ как работают ssh кючи и почему это считается безопасным (+ какой формат кодировки безопаснее и почему)
+ Доп
тяжелооо</t>
        </r>
      </text>
    </comment>
    <comment ref="R12" authorId="0">
      <text>
        <r>
          <rPr>
            <sz val="10"/>
            <rFont val="Arial"/>
            <family val="2"/>
          </rPr>
          <t xml:space="preserve">1.
+ Что такое конвейер?
- &gt; vs &gt;&gt;
+ специальные символы
2.
+ chmod тремя способами
chmod цифрами ?
3.
inode + жестке ссылки
абсолютный vs относительный путь
stat
Доп</t>
        </r>
      </text>
    </comment>
    <comment ref="R13" authorId="0">
      <text>
        <r>
          <rPr>
            <sz val="10"/>
            <rFont val="Arial"/>
            <family val="2"/>
          </rPr>
          <t xml:space="preserve">+ echo -n
+/- cat &gt;&gt; cat &lt;&lt; cat
+ Как вывести список файлов директории без ls / cat и других внешних
+/- Внешние / внутренние команды
+/- Различия между терминалом/командной строкой/оболочкой/интерпретатором
Доп:
Написать скрипт, который раскидает файлы в директории согласно расширениям (.jpg, .png, .pdf итд). Следует использовать регулярки</t>
        </r>
      </text>
    </comment>
    <comment ref="R14" authorId="0">
      <text>
        <r>
          <rPr>
            <sz val="10"/>
            <rFont val="Arial"/>
            <family val="2"/>
          </rPr>
          <t xml:space="preserve">1.
+ Конвеер &gt; vs &gt;&gt;, &gt;&amp;1 vs &gt;1
2.
+ umask
+ 4.3 - починить
+ 4.5 - починить
5.
+ флаги rm
+ cd - под капотом
+ chmod -R dir vs chmod dir/*
+ скрытые файлы
+ Доп</t>
        </r>
      </text>
    </comment>
    <comment ref="R15" authorId="0">
      <text>
        <r>
          <rPr>
            <sz val="10"/>
            <rFont val="Arial"/>
            <family val="2"/>
          </rPr>
          <t xml:space="preserve">4.1 - wrong
+ PID or PPID
+/- heredoc
+ stat даты
+ Доп</t>
        </r>
      </text>
    </comment>
    <comment ref="R16" authorId="0">
      <text>
        <r>
          <rPr>
            <sz val="10"/>
            <rFont val="Arial"/>
            <family val="2"/>
          </rPr>
          <t xml:space="preserve">1.
+ ` ` - для чего и какая может быть польза
+ mkdir -p / -m
- ls без ls
+ heredoc
+ echo 1&gt;2 3
+ Доп</t>
        </r>
      </text>
    </comment>
    <comment ref="R17" authorId="0">
      <text>
        <r>
          <rPr>
            <sz val="10"/>
            <rFont val="Arial"/>
            <family val="2"/>
          </rPr>
          <t xml:space="preserve">+ использовать find в пункте 4
+ echo 1&gt;2 3
+ Сколько абсолютных путей есть у файла? Сколько относительных?
+ Есть ли у файла ссылка на директорию в которой он находится?
Доп:
Написать скрипт, который сгруппирует жесткие ссылки на один файл по директориям.</t>
        </r>
      </text>
    </comment>
    <comment ref="R18" authorId="0">
      <text>
        <r>
          <rPr>
            <sz val="10"/>
            <rFont val="Arial"/>
            <family val="2"/>
          </rPr>
          <t xml:space="preserve">1.
+ echo -e / -n
+/- mkdir -p / -m
+ Экранирование
2.
+ umask и как его использовать
4.1
+ уровни вложенности
4.2
+ ограничить тремя
4.5
+ не выводит
4.6
+ не выводит
5.
+ флаги rm
+ Доп</t>
        </r>
      </text>
    </comment>
    <comment ref="R19" authorId="0">
      <text>
        <r>
          <rPr>
            <sz val="10"/>
            <rFont val="Arial"/>
            <family val="2"/>
          </rPr>
          <t xml:space="preserve">+ ls без ls
+ экранирование
+ sticky bit
+ Доп:
echo командой организовать чат между двумя окнами терминала</t>
        </r>
      </text>
    </comment>
    <comment ref="R20" authorId="0">
      <text>
        <r>
          <rPr>
            <sz val="10"/>
            <rFont val="Arial"/>
            <family val="2"/>
          </rPr>
          <t xml:space="preserve">1.
+/- Что такое конвеер
3.
+/- inode
+ копия жесткой ссылки
4.2
+ разобраться
5.
+ rm  -f
* .bash* файлы, какие бывают и для чего нужны
* как работают ssh кючи и почему это считается безопасным (+ какой формат кодировки безопаснее и почему)
* stat (внимание на даты)
+ Доп</t>
        </r>
      </text>
    </comment>
    <comment ref="V4" authorId="0">
      <text>
        <r>
          <rPr>
            <sz val="10"/>
            <rFont val="Arial"/>
            <family val="2"/>
          </rPr>
          <t xml:space="preserve">A = ACDC
B = 0159
D = 0228</t>
        </r>
      </text>
    </comment>
    <comment ref="V5" authorId="0">
      <text>
        <r>
          <rPr>
            <sz val="10"/>
            <rFont val="Arial"/>
            <family val="2"/>
          </rPr>
          <t xml:space="preserve">A = 0AAA
B = BEBE
C = 4F72</t>
        </r>
      </text>
    </comment>
    <comment ref="V6" authorId="0">
      <text>
        <r>
          <rPr>
            <sz val="10"/>
            <rFont val="Arial"/>
            <family val="2"/>
          </rPr>
          <t xml:space="preserve">X = 0EAE
Y = 0012
Z = AFAF</t>
        </r>
      </text>
    </comment>
    <comment ref="V7" authorId="0">
      <text>
        <r>
          <rPr>
            <sz val="10"/>
            <rFont val="Arial"/>
            <family val="2"/>
          </rPr>
          <t xml:space="preserve">A = DEAD
B = DEAD
C = CACA</t>
        </r>
      </text>
    </comment>
    <comment ref="V8" authorId="0">
      <text>
        <r>
          <rPr>
            <sz val="10"/>
            <rFont val="Arial"/>
            <family val="2"/>
          </rPr>
          <t xml:space="preserve">A = CADB
B = 0312
C = 0111</t>
        </r>
      </text>
    </comment>
    <comment ref="V9" authorId="0">
      <text>
        <r>
          <rPr>
            <sz val="10"/>
            <rFont val="Arial"/>
            <family val="2"/>
          </rPr>
          <t xml:space="preserve">A = 0228
B = 5321
C = 155F
D = 0228</t>
        </r>
      </text>
    </comment>
    <comment ref="V10" authorId="0">
      <text>
        <r>
          <rPr>
            <sz val="10"/>
            <rFont val="Arial"/>
            <family val="2"/>
          </rPr>
          <t xml:space="preserve">A = DEAD
B = 0228
C = BEEF</t>
        </r>
      </text>
    </comment>
    <comment ref="V11" authorId="0">
      <text>
        <r>
          <rPr>
            <sz val="10"/>
            <rFont val="Arial"/>
            <family val="2"/>
          </rPr>
          <t xml:space="preserve">A = DEAD
B = 0FAF
C = FFFF</t>
        </r>
      </text>
    </comment>
    <comment ref="V13" authorId="0">
      <text>
        <r>
          <rPr>
            <sz val="10"/>
            <rFont val="Arial"/>
            <family val="2"/>
          </rPr>
          <t xml:space="preserve">A = D309
B = 0123
C = DEAD
</t>
        </r>
      </text>
    </comment>
    <comment ref="V14" authorId="0">
      <text>
        <r>
          <rPr>
            <sz val="10"/>
            <rFont val="Arial"/>
            <family val="2"/>
          </rPr>
          <t xml:space="preserve">A = BFA0
B = FED9
C = AFA0</t>
        </r>
      </text>
    </comment>
    <comment ref="V15" authorId="0">
      <text>
        <r>
          <rPr>
            <sz val="10"/>
            <rFont val="Arial"/>
            <family val="2"/>
          </rPr>
          <t xml:space="preserve">X = AFAF
Y = 90AE
Z = F0F0</t>
        </r>
      </text>
    </comment>
    <comment ref="V16" authorId="0">
      <text>
        <r>
          <rPr>
            <sz val="10"/>
            <rFont val="Arial"/>
            <family val="2"/>
          </rPr>
          <t xml:space="preserve">A = 0228
B = A1BD
C = 6189
D = FAFA</t>
        </r>
      </text>
    </comment>
    <comment ref="V17" authorId="0">
      <text>
        <r>
          <rPr>
            <sz val="10"/>
            <rFont val="Arial"/>
            <family val="2"/>
          </rPr>
          <t xml:space="preserve">A = 0228
B = DEAD
C = ABCD</t>
        </r>
      </text>
    </comment>
    <comment ref="V18" authorId="0">
      <text>
        <r>
          <rPr>
            <sz val="10"/>
            <rFont val="Arial"/>
            <family val="2"/>
          </rPr>
          <t xml:space="preserve">A = ABAB
C = 0DDD
D = 0228</t>
        </r>
      </text>
    </comment>
    <comment ref="V19" authorId="0">
      <text>
        <r>
          <rPr>
            <sz val="10"/>
            <rFont val="Arial"/>
            <family val="2"/>
          </rPr>
          <t xml:space="preserve">A = 0001
B = 0FAF
C = FFFF</t>
        </r>
      </text>
    </comment>
    <comment ref="V20" authorId="0">
      <text>
        <r>
          <rPr>
            <sz val="10"/>
            <rFont val="Arial"/>
            <family val="2"/>
          </rPr>
          <t xml:space="preserve">A = 0115
B = ABAB
C = 0228</t>
        </r>
      </text>
    </comment>
    <comment ref="W13" authorId="0">
      <text>
        <r>
          <rPr>
            <sz val="10"/>
            <rFont val="Arial"/>
            <family val="2"/>
          </rPr>
          <t xml:space="preserve">пофиксить ОДЗ</t>
        </r>
      </text>
    </comment>
    <comment ref="W19" authorId="0">
      <text>
        <r>
          <rPr>
            <sz val="10"/>
            <rFont val="Arial"/>
            <family val="2"/>
          </rPr>
          <t xml:space="preserve">переменная RESULT</t>
        </r>
      </text>
    </comment>
    <comment ref="X4" authorId="0">
      <text>
        <r>
          <rPr>
            <sz val="10"/>
            <rFont val="Arial"/>
            <family val="2"/>
          </rPr>
          <t xml:space="preserve">+ как реализовано вычитание (как реализован -1) в АЛУ
+ три вида представления символов
+ команды ветвления
</t>
        </r>
      </text>
    </comment>
    <comment ref="X5" authorId="0">
      <text>
        <r>
          <rPr>
            <sz val="10"/>
            <rFont val="Arial"/>
            <family val="2"/>
          </rPr>
          <t xml:space="preserve">+ адресация
+ арифметический и циклический сдвиг
- как зовут практика
+ как реализован -1 в АЛУ</t>
        </r>
      </text>
    </comment>
    <comment ref="X6" authorId="0">
      <text>
        <r>
          <rPr>
            <sz val="10"/>
            <rFont val="Arial"/>
            <family val="2"/>
          </rPr>
          <t xml:space="preserve">+ CISC/RISC
+ Кеш память
+/- маршрутиация на сетевом уровне IP</t>
        </r>
      </text>
    </comment>
    <comment ref="X7" authorId="0">
      <text>
        <r>
          <rPr>
            <sz val="10"/>
            <rFont val="Arial"/>
            <family val="2"/>
          </rPr>
          <t xml:space="preserve">+ ControlUnit и почему его называют МПУ
+ Пирамида памяти и уровни кеш памяти (чем отличаются)</t>
        </r>
      </text>
    </comment>
    <comment ref="X8" authorId="0">
      <text>
        <r>
          <rPr>
            <sz val="10"/>
            <rFont val="Arial"/>
            <family val="2"/>
          </rPr>
          <t xml:space="preserve">+/- коммутатор
+ фон нейман и гарвард</t>
        </r>
      </text>
    </comment>
    <comment ref="X9" authorId="0">
      <text>
        <r>
          <rPr>
            <sz val="10"/>
            <rFont val="Arial"/>
            <family val="2"/>
          </rPr>
          <t xml:space="preserve">+ CISC / RISC
+ пирамида памяти, кеш память, уровни кеша</t>
        </r>
      </text>
    </comment>
    <comment ref="X10" authorId="0">
      <text>
        <r>
          <rPr>
            <sz val="10"/>
            <rFont val="Arial"/>
            <family val="2"/>
          </rPr>
          <t xml:space="preserve">+ Режимы адресации
+ Как выставляется флаг V</t>
        </r>
      </text>
    </comment>
    <comment ref="X11" authorId="0">
      <text>
        <r>
          <rPr>
            <sz val="10"/>
            <rFont val="Arial"/>
            <family val="2"/>
          </rPr>
          <t xml:space="preserve">+ Фон Неймана vs Гарвардская, bcomp-ng фон неймана или гарвардская и почему
+ cisc / risc / vliw
++/- Пирамида памяти</t>
        </r>
      </text>
    </comment>
    <comment ref="X13" authorId="0">
      <text>
        <r>
          <rPr>
            <sz val="10"/>
            <rFont val="Arial"/>
            <family val="2"/>
          </rPr>
          <t xml:space="preserve">+ как можно использовать дробные числа
+ за сколько машинных циклов выполняется любая безадресная команда?
+ как выставляется флаг V</t>
        </r>
      </text>
    </comment>
    <comment ref="X14" authorId="0">
      <text>
        <r>
          <rPr>
            <sz val="10"/>
            <rFont val="Arial"/>
            <family val="2"/>
          </rPr>
          <t xml:space="preserve">+ CISC / RISC
+ кеш память / кеш линии / состояния кеш линий (MOESI)
+ Что такое Stack-Oriented Processors
</t>
        </r>
      </text>
    </comment>
    <comment ref="X15" authorId="0">
      <text>
        <r>
          <rPr>
            <sz val="10"/>
            <rFont val="Arial"/>
            <family val="2"/>
          </rPr>
          <t xml:space="preserve">+ Структура БЭВМ
+ CISC / RISC
+ конвейеризация
+ memory-to-memory / register-to-register
+ иерархия кеш памяти (L0,1,2,3,4), кеш линии, состояния кеш линий (MOESI)</t>
        </r>
      </text>
    </comment>
    <comment ref="X16" authorId="0">
      <text>
        <r>
          <rPr>
            <sz val="10"/>
            <rFont val="Arial"/>
            <family val="2"/>
          </rPr>
          <t xml:space="preserve">+ CISC / RISC
пирамида памяти: кеш память</t>
        </r>
      </text>
    </comment>
    <comment ref="X17" authorId="0">
      <text>
        <r>
          <rPr>
            <sz val="10"/>
            <rFont val="Arial"/>
            <family val="2"/>
          </rPr>
          <t xml:space="preserve">+ флаг V
+/- Фон нейман Гарвард
+ CISC RISC
+ арифметический / логческий сдвиг</t>
        </r>
      </text>
    </comment>
    <comment ref="X18" authorId="0">
      <text>
        <r>
          <rPr>
            <sz val="10"/>
            <rFont val="Arial"/>
            <family val="2"/>
          </rPr>
          <t xml:space="preserve">+ CISC / RISC / VLIW
+ Кеш память
+ banked vs shared кеш память
</t>
        </r>
      </text>
    </comment>
    <comment ref="X19" authorId="0">
      <text>
        <r>
          <rPr>
            <sz val="10"/>
            <rFont val="Arial"/>
            <family val="2"/>
          </rPr>
          <t xml:space="preserve">+ Декремент
Как БЭВМ выставляет флаг V
</t>
        </r>
      </text>
    </comment>
    <comment ref="X20" authorId="0">
      <text>
        <r>
          <rPr>
            <sz val="10"/>
            <rFont val="Arial"/>
            <family val="2"/>
          </rPr>
          <t xml:space="preserve">+ Структура БЭВМ
+/-- x86_64, ARM, memory-to-memory и register-to-register
+ иерархия кеш памяти (L0,1,2,3)
+/- кеш линии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M5" authorId="0">
      <text>
        <r>
          <rPr>
            <sz val="10"/>
            <rFont val="Arial"/>
            <family val="2"/>
          </rPr>
          <t xml:space="preserve">хотелось бы побольше по теме</t>
        </r>
      </text>
    </comment>
    <comment ref="AM9" authorId="0">
      <text>
        <r>
          <rPr>
            <sz val="10"/>
            <rFont val="Arial"/>
            <family val="2"/>
          </rPr>
          <t xml:space="preserve">с картинкой было бы лучше</t>
        </r>
      </text>
    </comment>
    <comment ref="AM14" authorId="0">
      <text>
        <r>
          <rPr>
            <sz val="10"/>
            <rFont val="Arial"/>
            <family val="2"/>
          </rPr>
          <t xml:space="preserve">много не по теме, но есть и по теме, хотя и не в полном объеме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R10" authorId="0">
      <text>
        <r>
          <rPr>
            <sz val="10"/>
            <rFont val="Arial"/>
            <family val="2"/>
          </rPr>
          <t xml:space="preserve">вопросы
- почитать что такое escape-последовательности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M5" authorId="0">
      <text>
        <r>
          <rPr>
            <sz val="10"/>
            <rFont val="Arial"/>
            <family val="2"/>
          </rPr>
          <t xml:space="preserve">как и обсуждали, кое-что можно было добавить</t>
        </r>
      </text>
    </comment>
    <comment ref="AM9" authorId="0">
      <text>
        <r>
          <rPr>
            <sz val="10"/>
            <rFont val="Arial"/>
            <family val="2"/>
          </rPr>
          <t xml:space="preserve">картинка со слайда была бы кстати</t>
        </r>
      </text>
    </comment>
    <comment ref="AM14" authorId="0">
      <text>
        <r>
          <rPr>
            <sz val="10"/>
            <rFont val="Arial"/>
            <family val="2"/>
          </rPr>
          <t xml:space="preserve">эх, немного не о том написали. Надо бы уточнить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2" authorId="0">
      <text>
        <r>
          <rPr>
            <sz val="10"/>
            <rFont val="Arial"/>
            <family val="2"/>
          </rPr>
          <t xml:space="preserve">Возмещение (06.12)</t>
        </r>
      </text>
    </comment>
    <comment ref="Q3" authorId="0">
      <text>
        <r>
          <rPr>
            <sz val="10"/>
            <rFont val="Arial"/>
            <family val="2"/>
          </rPr>
          <t xml:space="preserve">- 
-  </t>
        </r>
      </text>
    </comment>
    <comment ref="Q4" authorId="0">
      <text>
        <r>
          <rPr>
            <sz val="10"/>
            <rFont val="Arial"/>
            <family val="2"/>
          </rPr>
          <t xml:space="preserve">- Как работает тильда в Unix (+) 
- как работает ~ с кавычками, обратным слэшем (+)
- pipes/конвейер (+)
- echo $? (+)
- echo $$ (+)
- echo $0 (+-)
- echo $1 (+)
- echo $@ (+)
- echo $# (+)
- man: где ищет справочные и как переопределить (+)
- man ls -- как вывести всю справочную страницу без пейджинга (+)
- echo без newline -- как? (+)
- символ для экранирования символов escape-последовательности
- отсортировать по конкретной колонке</t>
        </r>
      </text>
    </comment>
    <comment ref="Q5" authorId="0">
      <text>
        <r>
          <rPr>
            <sz val="10"/>
            <rFont val="Arial"/>
            <family val="2"/>
          </rPr>
          <t xml:space="preserve">1) cd "~" - КУДА? (+)
2) как создавать ФД (+)
3) предыдущий путь для cd - КАК?(+)</t>
        </r>
      </text>
    </comment>
    <comment ref="Q7" authorId="0">
      <text>
        <r>
          <rPr>
            <sz val="10"/>
            <rFont val="Arial"/>
            <family val="2"/>
          </rPr>
          <t xml:space="preserve">- новый ФД (+)
- как запускать файлы, в чем разница двух вариантов запуска (+/)
- как оболочка знает, где исполняемый файл команды (+)
- вывести файл с помощью man (+)</t>
        </r>
      </text>
    </comment>
    <comment ref="Q9" authorId="0">
      <text>
        <r>
          <rPr>
            <sz val="10"/>
            <rFont val="Arial"/>
            <family val="2"/>
          </rPr>
          <t xml:space="preserve">4.1) без grep
4) попробовать переписать без --include у grep'а
2) сделать варианты chmod с +, -, =</t>
        </r>
      </text>
    </comment>
    <comment ref="Q10" authorId="0">
      <text>
        <r>
          <rPr>
            <sz val="10"/>
            <rFont val="Arial"/>
            <family val="2"/>
          </rPr>
          <t xml:space="preserve">- Вывести содержимое мягкой ссылки на файл (не файла, на который указывает ссылка) с помощью утилиты ls. Допустимо использование конвейера. Вывод команды аналогичен выводу команды readlink
- кто может менять права на файл
- что происходит, когда запускается команд, как это устроено</t>
        </r>
      </text>
    </comment>
    <comment ref="Q11" authorId="0">
      <text>
        <r>
          <rPr>
            <sz val="10"/>
            <rFont val="Arial"/>
            <family val="2"/>
          </rPr>
          <t xml:space="preserve">4) - количество символов 
    -  убрать вложенную команду
    - подумать про столбец 8
- поиск в man
- поиск по истории команд
- cat &lt;my_file &gt;my_file и cat &lt;my_file &gt;&gt;my_file</t>
        </r>
      </text>
    </comment>
    <comment ref="Q13" authorId="0">
      <text>
        <r>
          <rPr>
            <sz val="10"/>
            <rFont val="Arial"/>
            <family val="2"/>
          </rPr>
          <t xml:space="preserve">- cd /..
- возврат на пред. директорию
- environment variable PWD, pwd</t>
        </r>
      </text>
    </comment>
    <comment ref="Q14" authorId="0">
      <text>
        <r>
          <rPr>
            <sz val="10"/>
            <rFont val="Arial"/>
            <family val="2"/>
          </rPr>
          <t xml:space="preserve">Поиск внутри man</t>
        </r>
      </text>
    </comment>
    <comment ref="Q15" authorId="0">
      <text>
        <r>
          <rPr>
            <sz val="10"/>
            <rFont val="Arial"/>
            <family val="2"/>
          </rPr>
          <t xml:space="preserve">4.1
4.3</t>
        </r>
      </text>
    </comment>
    <comment ref="Q16" authorId="0">
      <text>
        <r>
          <rPr>
            <sz val="10"/>
            <rFont val="Arial"/>
            <family val="2"/>
          </rPr>
          <t xml:space="preserve">*
- как посмотреть pid процесса интерпретатора
- длина строки через grep
- cat &gt;my_file &lt;my_file</t>
        </r>
      </text>
    </comment>
    <comment ref="Q18" authorId="0">
      <text>
        <r>
          <rPr>
            <sz val="10"/>
            <rFont val="Arial"/>
            <family val="2"/>
          </rPr>
          <t xml:space="preserve">1) какие права надо забрать, чтобы все еще можно было менять права +
2) &lt;&lt;  +
3) &lt;&lt;&lt; +
4) Что умеет man
5) ls -1, что? 
6) экранирование</t>
        </r>
      </text>
    </comment>
    <comment ref="U3" authorId="0">
      <text>
        <r>
          <rPr>
            <sz val="10"/>
            <rFont val="Arial"/>
            <family val="2"/>
          </rPr>
          <t xml:space="preserve">- bcomp: xor (+)
- преимущества доп. код перед обратным (+)
- как представляются дробные числа (плавающая точка) (+)
</t>
        </r>
      </text>
    </comment>
    <comment ref="U5" authorId="0">
      <text>
        <r>
          <rPr>
            <sz val="10"/>
            <rFont val="Arial"/>
            <family val="2"/>
          </rPr>
          <t xml:space="preserve">- выполнение команды LOAD (+)
- формирование переполнения (+)
- xor</t>
        </r>
      </text>
    </comment>
    <comment ref="U7" authorId="0">
      <text>
        <r>
          <rPr>
            <sz val="10"/>
            <rFont val="Arial"/>
            <family val="2"/>
          </rPr>
          <t xml:space="preserve">Программа для проверки числа на степень двойка</t>
        </r>
      </text>
    </comment>
    <comment ref="AE8" authorId="0">
      <text>
        <r>
          <rPr>
            <sz val="10"/>
            <rFont val="Arial"/>
            <family val="2"/>
          </rPr>
          <t xml:space="preserve">DNA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K10" authorId="0">
      <text>
        <r>
          <rPr>
            <sz val="10"/>
            <rFont val="Arial"/>
            <family val="2"/>
          </rPr>
          <t xml:space="preserve">Не готова</t>
        </r>
      </text>
    </comment>
    <comment ref="AA3" authorId="0">
      <text>
        <r>
          <rPr>
            <sz val="10"/>
            <rFont val="Arial"/>
            <family val="2"/>
          </rPr>
          <t xml:space="preserve">X = E003 (16)
Y = 190D (16)
Z = -1270 (10)</t>
        </r>
      </text>
    </comment>
    <comment ref="AA4" authorId="0">
      <text>
        <r>
          <rPr>
            <sz val="10"/>
            <rFont val="Arial"/>
            <family val="2"/>
          </rPr>
          <t xml:space="preserve">B = 5C31 (16)
Z = 3A78 (16)
Y = -20 016 (10)</t>
        </r>
      </text>
    </comment>
    <comment ref="AA5" authorId="0">
      <text>
        <r>
          <rPr>
            <sz val="10"/>
            <rFont val="Arial"/>
            <family val="2"/>
          </rPr>
          <t xml:space="preserve">C = 135 (10)
D = DF02 (16)
A = 3080 (16)</t>
        </r>
      </text>
    </comment>
    <comment ref="AA8" authorId="0">
      <text>
        <r>
          <rPr>
            <sz val="10"/>
            <rFont val="Arial"/>
            <family val="2"/>
          </rPr>
          <t xml:space="preserve">С = -1349 (10)
A = F504 (16)
B = E0DD (16)</t>
        </r>
      </text>
    </comment>
    <comment ref="AA9" authorId="0">
      <text>
        <r>
          <rPr>
            <sz val="10"/>
            <rFont val="Arial"/>
            <family val="2"/>
          </rPr>
          <t xml:space="preserve">Z = -357 (10)
X = E001 (16)
Y = 890A (16)</t>
        </r>
      </text>
    </comment>
    <comment ref="AA10" authorId="0">
      <text>
        <r>
          <rPr>
            <sz val="10"/>
            <rFont val="Arial"/>
            <family val="2"/>
          </rPr>
          <t xml:space="preserve">A = 17800 (10)
X = 89AB (16)
Y = 4D50 (16)
</t>
        </r>
      </text>
    </comment>
    <comment ref="AA11" authorId="0">
      <text>
        <r>
          <rPr>
            <sz val="10"/>
            <rFont val="Arial"/>
            <family val="2"/>
          </rPr>
          <t xml:space="preserve">C = 3333 (16)
X = -23 (10)
A = 98 (10)</t>
        </r>
      </text>
    </comment>
    <comment ref="AA12" authorId="0">
      <text>
        <r>
          <rPr>
            <sz val="10"/>
            <rFont val="Arial"/>
            <family val="2"/>
          </rPr>
          <t xml:space="preserve">E = 806 (10)
A = -1008 (10)
D = A0E5 (16)
</t>
        </r>
      </text>
    </comment>
    <comment ref="AA13" authorId="0">
      <text>
        <r>
          <rPr>
            <sz val="10"/>
            <rFont val="Arial"/>
            <family val="2"/>
          </rPr>
          <t xml:space="preserve">X = -900 (10)
Z = 14 501 (10)
Y = 663C (16)</t>
        </r>
      </text>
    </comment>
    <comment ref="AA14" authorId="0">
      <text>
        <r>
          <rPr>
            <sz val="10"/>
            <rFont val="Arial"/>
            <family val="2"/>
          </rPr>
          <t xml:space="preserve">C = -67 (10)
D = 45 (10)
A = F0F0 (16)</t>
        </r>
      </text>
    </comment>
    <comment ref="AA15" authorId="0">
      <text>
        <r>
          <rPr>
            <sz val="10"/>
            <rFont val="Arial"/>
            <family val="2"/>
          </rPr>
          <t xml:space="preserve">С = 1542 (10)
X = -258 (10)
A = F9C0 (16)</t>
        </r>
      </text>
    </comment>
    <comment ref="AA16" authorId="0">
      <text>
        <r>
          <rPr>
            <sz val="10"/>
            <rFont val="Arial"/>
            <family val="2"/>
          </rPr>
          <t xml:space="preserve">X = 0505 (16)
Z = 2666 (16)
Y = -238 (10)</t>
        </r>
      </text>
    </comment>
    <comment ref="AA18" authorId="0">
      <text>
        <r>
          <rPr>
            <sz val="10"/>
            <rFont val="Arial"/>
            <family val="2"/>
          </rPr>
          <t xml:space="preserve">A = 158 (10)
B = -69 (10)
C = 3FF5 (16)</t>
        </r>
      </text>
    </comment>
    <comment ref="AA20" authorId="0">
      <text>
        <r>
          <rPr>
            <sz val="10"/>
            <rFont val="Arial"/>
            <family val="2"/>
          </rPr>
          <t xml:space="preserve">B = -145 (10)
C = F0F0 (16)
A = C091 (16)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J5" authorId="0">
      <text>
        <r>
          <rPr>
            <sz val="10"/>
            <rFont val="Arial"/>
            <family val="2"/>
          </rPr>
          <t xml:space="preserve">болеет</t>
        </r>
      </text>
    </comment>
    <comment ref="W5" authorId="0">
      <text>
        <r>
          <rPr>
            <sz val="10"/>
            <rFont val="Arial"/>
            <family val="2"/>
          </rPr>
          <t xml:space="preserve">+ вывести только файлы, имя которых начинается на d
+ экранирование
+ перенаправления
</t>
        </r>
      </text>
    </comment>
    <comment ref="W9" authorId="0">
      <text>
        <r>
          <rPr>
            <sz val="10"/>
            <rFont val="Arial"/>
            <family val="2"/>
          </rPr>
          <t xml:space="preserve">+ вывод команды ls
- экранирование
- перенаправления</t>
        </r>
      </text>
    </comment>
    <comment ref="AA3" authorId="0">
      <text>
        <r>
          <rPr>
            <sz val="10"/>
            <rFont val="Arial"/>
            <family val="2"/>
          </rPr>
          <t xml:space="preserve">X = 903A (16)
B = 720F (16)
W = -3902 (10)</t>
        </r>
      </text>
    </comment>
    <comment ref="AA4" authorId="0">
      <text>
        <r>
          <rPr>
            <sz val="10"/>
            <rFont val="Arial"/>
            <family val="2"/>
          </rPr>
          <t xml:space="preserve">D = 149 (10)
B = -12901 (10)
C = DE01 (16)</t>
        </r>
      </text>
    </comment>
    <comment ref="AA6" authorId="0">
      <text>
        <r>
          <rPr>
            <sz val="10"/>
            <rFont val="Arial"/>
            <family val="2"/>
          </rPr>
          <t xml:space="preserve">A = -147 (10)
B = -2049 (10)
C = F0F0 (16)</t>
        </r>
      </text>
    </comment>
    <comment ref="AA7" authorId="0">
      <text>
        <r>
          <rPr>
            <sz val="10"/>
            <rFont val="Arial"/>
            <family val="2"/>
          </rPr>
          <t xml:space="preserve">X = -256 (10)
Y = 189 (10)
Z = 0FF1 (16)</t>
        </r>
      </text>
    </comment>
    <comment ref="AA8" authorId="0">
      <text>
        <r>
          <rPr>
            <sz val="10"/>
            <rFont val="Arial"/>
            <family val="2"/>
          </rPr>
          <t xml:space="preserve">B = 4444 (16)
C = -77 (10)
D = -13 (10)</t>
        </r>
      </text>
    </comment>
    <comment ref="AA10" authorId="0">
      <text>
        <r>
          <rPr>
            <sz val="10"/>
            <rFont val="Arial"/>
            <family val="2"/>
          </rPr>
          <t xml:space="preserve">A = 18 (10)
B = 1390 (10)
C = C003 (16)</t>
        </r>
      </text>
    </comment>
    <comment ref="AA11" authorId="0">
      <text>
        <r>
          <rPr>
            <sz val="10"/>
            <rFont val="Arial"/>
            <family val="2"/>
          </rPr>
          <t xml:space="preserve">W = -1780 (10)
X = 1234 (16)
B = D0D0 (16)</t>
        </r>
      </text>
    </comment>
    <comment ref="AA12" authorId="0">
      <text>
        <r>
          <rPr>
            <sz val="10"/>
            <rFont val="Arial"/>
            <family val="2"/>
          </rPr>
          <t xml:space="preserve">X = 1394 (10)
Z = C0A0 (16)
W = D877 (16)</t>
        </r>
      </text>
    </comment>
    <comment ref="AA13" authorId="0">
      <text>
        <r>
          <rPr>
            <sz val="10"/>
            <rFont val="Arial"/>
            <family val="2"/>
          </rPr>
          <t xml:space="preserve">X = 172 (10)
Y = 7090 (16)
Z = 17802 (10)</t>
        </r>
      </text>
    </comment>
    <comment ref="AA14" authorId="0">
      <text>
        <r>
          <rPr>
            <sz val="10"/>
            <rFont val="Arial"/>
            <family val="2"/>
          </rPr>
          <t xml:space="preserve">X = C092 (16)
B = F45F (16)
W = 556 (10)</t>
        </r>
      </text>
    </comment>
    <comment ref="AA18" authorId="0">
      <text>
        <r>
          <rPr>
            <sz val="10"/>
            <rFont val="Arial"/>
            <family val="2"/>
          </rPr>
          <t xml:space="preserve">A = 90BA (16)
B = BC02 (16)
C = 18 900 (10)</t>
        </r>
      </text>
    </comment>
    <comment ref="AA19" authorId="0">
      <text>
        <r>
          <rPr>
            <sz val="10"/>
            <rFont val="Arial"/>
            <family val="2"/>
          </rPr>
          <t xml:space="preserve">A = 14333 (10)
D = 24001 (10)
B = 7E00 (16)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6" authorId="0">
      <text>
        <r>
          <rPr>
            <sz val="10"/>
            <rFont val="Arial"/>
            <family val="2"/>
          </rPr>
          <t xml:space="preserve">задолженность</t>
        </r>
      </text>
    </comment>
    <comment ref="B9" authorId="0">
      <text>
        <r>
          <rPr>
            <sz val="10"/>
            <rFont val="Arial"/>
            <family val="2"/>
          </rPr>
          <t xml:space="preserve">должник до 04.10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U12" authorId="0">
      <text>
        <r>
          <rPr>
            <sz val="10"/>
            <rFont val="Arial"/>
            <family val="2"/>
          </rPr>
          <t xml:space="preserve">A=(2^10)-45
B=-2^5
D=-2^7
</t>
        </r>
      </text>
    </comment>
    <comment ref="V4" authorId="0">
      <text>
        <r>
          <rPr>
            <sz val="10"/>
            <rFont val="Arial"/>
            <family val="2"/>
          </rPr>
          <t xml:space="preserve">(Z|X)+Y
Y = -2^15-1
Z = -1
X = -2^14</t>
        </r>
      </text>
    </comment>
    <comment ref="V5" authorId="0">
      <text>
        <r>
          <rPr>
            <sz val="10"/>
            <rFont val="Arial"/>
            <family val="2"/>
          </rPr>
          <t xml:space="preserve">C = -2^13
B = 89
D = 2^7</t>
        </r>
      </text>
    </comment>
    <comment ref="V6" authorId="0">
      <text>
        <r>
          <rPr>
            <sz val="10"/>
            <rFont val="Arial"/>
            <family val="2"/>
          </rPr>
          <t xml:space="preserve">D=-2^10
B=-2^7 - 78
A =2^13 - 110</t>
        </r>
      </text>
    </comment>
    <comment ref="V8" authorId="0">
      <text>
        <r>
          <rPr>
            <sz val="10"/>
            <rFont val="Arial"/>
            <family val="2"/>
          </rPr>
          <t xml:space="preserve">X=C&amp;(A-B)
C = -1
A = 2^13
B = -2^2</t>
        </r>
      </text>
    </comment>
    <comment ref="V9" authorId="0">
      <text>
        <r>
          <rPr>
            <sz val="10"/>
            <rFont val="Arial"/>
            <family val="2"/>
          </rPr>
          <t xml:space="preserve">D=2^13 - 1
A=2341
C=-3133</t>
        </r>
      </text>
    </comment>
    <comment ref="V13" authorId="0">
      <text>
        <r>
          <rPr>
            <sz val="10"/>
            <rFont val="Arial"/>
            <family val="2"/>
          </rPr>
          <t xml:space="preserve">B = -2^13
C = -2^11
E = (2^15 ) - 7</t>
        </r>
      </text>
    </comment>
    <comment ref="V14" authorId="0">
      <text>
        <r>
          <rPr>
            <sz val="10"/>
            <rFont val="Arial"/>
            <family val="2"/>
          </rPr>
          <t xml:space="preserve">B=2^13
C=2^8 - 145
E=-2^7 + 78</t>
        </r>
      </text>
    </comment>
    <comment ref="V16" authorId="0">
      <text>
        <r>
          <rPr>
            <sz val="10"/>
            <rFont val="Arial"/>
            <family val="2"/>
          </rPr>
          <t xml:space="preserve">X+(Y|Z)
X = -2^7
Y = -1
Z = 2^14</t>
        </r>
      </text>
    </comment>
    <comment ref="Y5" authorId="0">
      <text>
        <r>
          <rPr>
            <sz val="10"/>
            <rFont val="Arial"/>
            <family val="2"/>
          </rPr>
          <t xml:space="preserve">Команда OR
Флаг V
Способы представления чисел
Архитектура ЭВМ
Уровни кэша</t>
        </r>
      </text>
    </comment>
    <comment ref="Y11" authorId="0">
      <text>
        <r>
          <rPr>
            <sz val="10"/>
            <rFont val="Arial"/>
            <family val="2"/>
          </rPr>
          <t xml:space="preserve">C=0xF312
B=2^13 - 5
A=0x5431</t>
        </r>
      </text>
    </comment>
    <comment ref="AE3" authorId="0">
      <text>
        <r>
          <rPr>
            <sz val="10"/>
            <rFont val="Arial"/>
            <family val="2"/>
          </rPr>
          <t xml:space="preserve">Про флаги ничего не сказано, хорошо, что перевод корректный :)</t>
        </r>
      </text>
    </comment>
    <comment ref="AE4" authorId="0">
      <text>
        <r>
          <rPr>
            <sz val="10"/>
            <rFont val="Arial"/>
            <family val="2"/>
          </rPr>
          <t xml:space="preserve">Критические ошибки при переводе в 2СС/16СС.
Например: -3743 = 110 0001 1111 прямой код, а доп.код 1111 1001 1110 0001 (а вы не учли старшие биты (001 1110 0000), их всегда нужно писать). Плюс у отрицательных чисел всегда старший бит - 1, так можно себя немного проверить
2-ая попытка:
CV наоборот</t>
        </r>
      </text>
    </comment>
    <comment ref="AE5" authorId="0">
      <text>
        <r>
          <rPr>
            <sz val="10"/>
            <rFont val="Arial"/>
            <family val="2"/>
          </rPr>
          <t xml:space="preserve">Перенос был. Мало подробностей во 2-м задании
</t>
        </r>
      </text>
    </comment>
    <comment ref="AE7" authorId="0">
      <text>
        <r>
          <rPr>
            <sz val="10"/>
            <rFont val="Arial"/>
            <family val="2"/>
          </rPr>
          <t xml:space="preserve">Нет такого синтаксиса: chmod r-x--x-w- ...
Нет явного представления чисел в 16СС
</t>
        </r>
      </text>
    </comment>
    <comment ref="AE8" authorId="0">
      <text>
        <r>
          <rPr>
            <sz val="10"/>
            <rFont val="Arial"/>
            <family val="2"/>
          </rPr>
          <t xml:space="preserve">Была ошибка в переводе второго операнда, но логика верная
</t>
        </r>
      </text>
    </comment>
    <comment ref="AE9" authorId="0">
      <text>
        <r>
          <rPr>
            <sz val="10"/>
            <rFont val="Arial"/>
            <family val="2"/>
          </rPr>
          <t xml:space="preserve">Нет такого синтаксиса: chmod r-x--x-w- ...
Нет 2-го задания :(
2-я попытка:
Косяк с переводом
3-я попытка:
Косяк с переводом, нет результата, неверные флаги</t>
        </r>
      </text>
    </comment>
    <comment ref="AE10" authorId="0">
      <text>
        <r>
          <rPr>
            <sz val="10"/>
            <rFont val="Arial"/>
            <family val="2"/>
          </rPr>
          <t xml:space="preserve">Проблемы с переводом, также не хватает отображения результата в 16СС. Неправильные флаги
1-я попытка</t>
        </r>
      </text>
    </comment>
    <comment ref="AE11" authorId="0">
      <text>
        <r>
          <rPr>
            <sz val="10"/>
            <rFont val="Arial"/>
            <family val="2"/>
          </rPr>
          <t xml:space="preserve">Нужно делать операцию в 16СС/2СС, а не в 10СС. Также нужно учитывать, что это знаковая операция. По итогу ответ CV = 01, а у вас 00. Перевести в 16СС нужно было не только результат, но и операнды
Нет такого синтаксиса: chmod r-x--x-w- ...
2-я попытка:
Косяк с переводом во втором задании</t>
        </r>
      </text>
    </comment>
    <comment ref="AE13" authorId="0">
      <text>
        <r>
          <rPr>
            <sz val="10"/>
            <rFont val="Arial"/>
            <family val="2"/>
          </rPr>
          <t xml:space="preserve">Проблемы с переводом</t>
        </r>
      </text>
    </comment>
    <comment ref="AE14" authorId="0">
      <text>
        <r>
          <rPr>
            <sz val="10"/>
            <rFont val="Arial"/>
            <family val="2"/>
          </rPr>
          <t xml:space="preserve">Про флаг V ничего не сказано. Странное обоснование для флага C</t>
        </r>
      </text>
    </comment>
    <comment ref="AE15" authorId="0">
      <text>
        <r>
          <rPr>
            <sz val="10"/>
            <rFont val="Arial"/>
            <family val="2"/>
          </rPr>
          <t xml:space="preserve">Перевод в 16СС страдает
Повезло, что флаги те же
</t>
        </r>
      </text>
    </comment>
    <comment ref="AE16" authorId="0">
      <text>
        <r>
          <rPr>
            <sz val="10"/>
            <rFont val="Arial"/>
            <family val="2"/>
          </rPr>
          <t xml:space="preserve">Забыли сказать про флаг C
</t>
        </r>
      </text>
    </comment>
    <comment ref="AE17" authorId="0">
      <text>
        <r>
          <rPr>
            <sz val="10"/>
            <rFont val="Arial"/>
            <family val="2"/>
          </rPr>
          <t xml:space="preserve">Плохо переводите в 2СС/16СС. Вам повезло, что ответ по CV совпал :)</t>
        </r>
      </text>
    </comment>
    <comment ref="AE18" authorId="0">
      <text>
        <r>
          <rPr>
            <sz val="10"/>
            <rFont val="Arial"/>
            <family val="2"/>
          </rPr>
          <t xml:space="preserve">Права нужно было задать разными способами
Проблемы с переводом в 2СС/16СС
</t>
        </r>
      </text>
    </comment>
    <comment ref="AL10" authorId="0">
      <text>
        <r>
          <rPr>
            <sz val="10"/>
            <rFont val="Arial"/>
            <family val="2"/>
          </rPr>
          <t xml:space="preserve">счастливый билет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M8" authorId="0">
      <text>
        <r>
          <rPr>
            <sz val="10"/>
            <rFont val="Arial"/>
            <family val="2"/>
          </rPr>
          <t xml:space="preserve">на тоненького</t>
        </r>
      </text>
    </comment>
    <comment ref="AM16" authorId="0">
      <text>
        <r>
          <rPr>
            <sz val="10"/>
            <rFont val="Arial"/>
            <family val="2"/>
          </rPr>
          <t xml:space="preserve">сомнительно чем пользовались при написании работы :-(</t>
        </r>
      </text>
    </comment>
    <comment ref="AM18" authorId="0">
      <text>
        <r>
          <rPr>
            <sz val="10"/>
            <rFont val="Arial"/>
            <family val="2"/>
          </rPr>
          <t xml:space="preserve">еще бы и картинку :-(</t>
        </r>
      </text>
    </comment>
  </commentList>
</comments>
</file>

<file path=xl/comments2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K2" authorId="0">
      <text>
        <r>
          <rPr>
            <sz val="10"/>
            <rFont val="Arial"/>
            <family val="2"/>
          </rPr>
          <t xml:space="preserve">синенькие - компенсация пары</t>
        </r>
      </text>
    </comment>
    <comment ref="L7" authorId="0">
      <text>
        <r>
          <rPr>
            <sz val="10"/>
            <rFont val="Arial"/>
            <family val="2"/>
          </rPr>
          <t xml:space="preserve">26.12 на допе другой группы</t>
        </r>
      </text>
    </comment>
    <comment ref="L14" authorId="0">
      <text>
        <r>
          <rPr>
            <sz val="10"/>
            <rFont val="Arial"/>
            <family val="2"/>
          </rPr>
          <t xml:space="preserve">26.12 на допе другой группы</t>
        </r>
      </text>
    </comment>
    <comment ref="L28" authorId="0">
      <text>
        <r>
          <rPr>
            <sz val="10"/>
            <rFont val="Arial"/>
            <family val="2"/>
          </rPr>
          <t xml:space="preserve">26.12 на допе другой группы</t>
        </r>
      </text>
    </comment>
    <comment ref="M2" authorId="0">
      <text>
        <r>
          <rPr>
            <sz val="10"/>
            <rFont val="Arial"/>
            <family val="2"/>
          </rPr>
          <t xml:space="preserve">Карташев - 06.01.2025</t>
        </r>
      </text>
    </comment>
    <comment ref="N2" authorId="0">
      <text>
        <r>
          <rPr>
            <sz val="10"/>
            <rFont val="Arial"/>
            <family val="2"/>
          </rPr>
          <t xml:space="preserve">Карташев 16.01.2025</t>
        </r>
      </text>
    </comment>
    <comment ref="O2" authorId="0">
      <text>
        <r>
          <rPr>
            <sz val="10"/>
            <rFont val="Arial"/>
            <family val="2"/>
          </rPr>
          <t xml:space="preserve">Карташев 24.01.2024</t>
        </r>
      </text>
    </comment>
    <comment ref="R3" authorId="0">
      <text>
        <r>
          <rPr>
            <sz val="10"/>
            <rFont val="Arial"/>
            <family val="2"/>
          </rPr>
          <t xml:space="preserve">1.
+ как работают расширения файлов
+ что делают ` `
+ что делает \ в названиях файлов
2.
- umask
3.
+ inode
-4.2
5.
+ rm -f
`` / '' / "" / /
cat &gt;&gt; cat &lt;&lt; cat
cat &lt;&lt; cat &gt;&gt; cat</t>
        </r>
      </text>
    </comment>
    <comment ref="R4" authorId="0">
      <text>
        <r>
          <rPr>
            <sz val="10"/>
            <rFont val="Arial"/>
            <family val="2"/>
          </rPr>
          <t xml:space="preserve">1.
+ все виды конвееров (&gt; vs &gt;&gt;)
+ '' vs "" vs `` vs \
2.
+ umask
+ 4.4 - разобраться
+ минимальный права на dir/file для cat fir/file
stat
+ Доп</t>
        </r>
      </text>
    </comment>
    <comment ref="R7" authorId="0">
      <text>
        <r>
          <rPr>
            <sz val="10"/>
            <rFont val="Arial"/>
            <family val="2"/>
          </rPr>
          <t xml:space="preserve">+ скрипты сломаны, нужно починить
1.
+ echo -n
+ Джокерные символы echo
+ Разница между ' ' vs " " vs ` `. 
+ Экранирование через кавычки
+ экранирование без кавычек
2.
+ chmod заменить некоторые цифры на u=g=o=, ugo+/- и a=
+ umask
3.
- жесткие ссылки
+ inode
+ как переименовать файл
+ 4.1 сделать рекурсивно
+ 4.6 что такое -k6 и 7
+ ls без ls
- stat
+ Доп</t>
        </r>
      </text>
    </comment>
    <comment ref="R9" authorId="0">
      <text>
        <r>
          <rPr>
            <sz val="10"/>
            <rFont val="Arial"/>
            <family val="2"/>
          </rPr>
          <t xml:space="preserve">2.
+ mkdir -m
3.
+ inode и как он связан с жесткими ссылками
+ древо директорий Linux
+ команда stat
+ sticky bit / suid / sgid
+ Доп</t>
        </r>
      </text>
    </comment>
    <comment ref="R12" authorId="0">
      <text>
        <r>
          <rPr>
            <sz val="10"/>
            <rFont val="Arial"/>
            <family val="2"/>
          </rPr>
          <t xml:space="preserve">+/- cat dir/file - минимальные права
</t>
        </r>
      </text>
    </comment>
    <comment ref="R13" authorId="0">
      <text>
        <r>
          <rPr>
            <sz val="10"/>
            <rFont val="Arial"/>
            <family val="2"/>
          </rPr>
          <t xml:space="preserve">Сделать скрипты
1.
+ как сделать перенос строки в + echo
+ ' ' vs " " vs ` `
+ echo флаг -n
+ команда mkdir -p и mkdir -m
+ Экранирование
2.
+ поправить chmod
+ три способа задания прав через chmod
+ что значат цифры в chmod (подсказка - двоичная система счисления)
+ umask - что это и как использовать
3.
+ символические ссылки и + жесткие ссылки, что такое + inode
+ команда ln -p
4.
+ ls -l, -e, -t, -r, -R, -a
+ r vs R
+/- Чем отличаются `` и $()
+/- когда изменится время в ls -la у ссылок . и ..
+ Доп</t>
        </r>
      </text>
    </comment>
    <comment ref="R14" authorId="0">
      <text>
        <r>
          <rPr>
            <sz val="10"/>
            <rFont val="Arial"/>
            <family val="2"/>
          </rPr>
          <t xml:space="preserve">2.
+ вариации chmod
+/- Что такое файл? А структура в Си - это файл?
- heredoc
+ Доп</t>
        </r>
      </text>
    </comment>
    <comment ref="R19" authorId="0">
      <text>
        <r>
          <rPr>
            <sz val="10"/>
            <rFont val="Arial"/>
            <family val="2"/>
          </rPr>
          <t xml:space="preserve">1.
+ Как использовать \n в echo
+ Экранирование
+ ' ' vs " " vs ` `
2.
+/- umask - как задать
3.
+ жесткая сслыка, символическая, inode - почему жесткая ссылка жесткая
+ Доп</t>
        </r>
      </text>
    </comment>
    <comment ref="R20" authorId="0">
      <text>
        <r>
          <rPr>
            <sz val="10"/>
            <rFont val="Arial"/>
            <family val="2"/>
          </rPr>
          <t xml:space="preserve">+ ssh ключ
* Джокерные символы echo
Доп:
Написать скрипт, который раскидает файлы в директории согласно расширениям (.jpg, .png, .pdf итд).
+ cat &gt;&gt; cat &lt;&lt; cat</t>
        </r>
      </text>
    </comment>
    <comment ref="R22" authorId="0">
      <text>
        <r>
          <rPr>
            <sz val="10"/>
            <rFont val="Arial"/>
            <family val="2"/>
          </rPr>
          <t xml:space="preserve">1
+ конвеер, все виды
+/-разные типы кавычек за что твечают
2
++/- ls без ls
+ umask
+ логическая операция вычитания
3
+/- ссылки (жесткая ссылка и символическая) через inode
+ как посмотреть inode
+ как поменять название файла без создания дубликата
+ Почему время изменения ссылки . и .. отличаются
+ stat
+/- минимальные права у dir и file для cat dir/file
+Доп</t>
        </r>
      </text>
    </comment>
    <comment ref="R24" authorId="0">
      <text>
        <r>
          <rPr>
            <sz val="10"/>
            <rFont val="Arial"/>
            <family val="2"/>
          </rPr>
          <t xml:space="preserve">2.
+ umask
3.
+ inode
+ ln -p
4.2 
+ починить
4.4
+ починить
5.
+ rm -f
+ Доп</t>
        </r>
      </text>
    </comment>
    <comment ref="R26" authorId="0">
      <text>
        <r>
          <rPr>
            <sz val="10"/>
            <rFont val="Arial"/>
            <family val="2"/>
          </rPr>
          <t xml:space="preserve">1.
+ two important mkdir flags
+ echo -e, echo -n
+ why \n is not working?
+ what is $ symbols after echo?
2.
+ chmod using not numbers
+ what is umask and how it works?
+ umask before creating files/dirs
3.
+ symbolic links vs hard links
+ what is hard link and what is inode?
+ what contains the symbolic links
4.
+ xargs
+ head / tail
+ sort with flags
5.
+ rm -r and rm -f
+ stat
+ inode
+ Доп</t>
        </r>
      </text>
    </comment>
    <comment ref="R27" authorId="0">
      <text>
        <r>
          <rPr>
            <sz val="10"/>
            <rFont val="Arial"/>
            <family val="2"/>
          </rPr>
          <t xml:space="preserve">1.
+ Переделать весь пункт 1, чтобы скрипт автоматически записывал текст в файлы через echo
2.
+ Задать права разными способами (777, rwx, + и тд)
3.
+ hard link
+ cp flags
+ how to change the time in the . and ..
+/- relative vs absolute path
+/- ls -l and why sum of hard links equals 2</t>
        </r>
      </text>
    </comment>
    <comment ref="R28" authorId="0">
      <text>
        <r>
          <rPr>
            <sz val="10"/>
            <rFont val="Arial"/>
            <family val="2"/>
          </rPr>
          <t xml:space="preserve">+ ssh ключ
2.
+ chmod 4, 2, 1
+ cd ~ / . / .. / - / /
+ Команда в Bash. Потоки ввода/вывода/ошибок
+ Экранирование
+ скрытые файлы / директории
+ как посмотреть историю перемещений юзера
+ cd -; cd -  
+ Как создать символьную ссылку без флага -s? (инвариант: уже есть одна символьная ссылка)
+ ln -P
+ Написать скрипт, который сгруппирует файлы по дате создания по директориям. - ограничиться днем
+ stat - все поля, особенно даты</t>
        </r>
      </text>
    </comment>
    <comment ref="R29" authorId="0">
      <text>
        <r>
          <rPr>
            <sz val="10"/>
            <rFont val="Arial"/>
            <family val="2"/>
          </rPr>
          <t xml:space="preserve">1.
+ флаги echo -n, -e
+ 4 способа реализации переноса
+ vi - как пользоваться, основные операции
2.
+ альтернатива "u="
+ chmod - флаги, что такое право "t"
4.1
+ считать файлы, а не директории
4.2
+ Не выводить ссылки
5.
+ Что за "*"
+ древо директорий Linux
+ команда stat
+ sticky bit / suid / sgid
+ Доп</t>
        </r>
      </text>
    </comment>
    <comment ref="R31" authorId="0">
      <text>
        <r>
          <rPr>
            <sz val="10"/>
            <rFont val="Arial"/>
            <family val="2"/>
          </rPr>
          <t xml:space="preserve">3.
+ln -P
+cp флаги
4.1
+/- использовать for
4.5
+ &gt; vs &gt;&amp;
потоки
как устроены команды
echo 1&gt;2 3
`` / '' / "" / /
cat &gt;&gt; cat &lt;&lt; cat
cat &lt;&lt; cat &gt;&gt; cat
задачи с конвейерами
+ Доп</t>
        </r>
      </text>
    </comment>
    <comment ref="R32" authorId="0">
      <text>
        <r>
          <rPr>
            <sz val="10"/>
            <rFont val="Arial"/>
            <family val="2"/>
          </rPr>
          <t xml:space="preserve">задавать права файлам не только числами, права поправить
что делает x для файлов и директорий
пункт 3.4 переделать символьную ссылку
различия между твердыми и мягкими ссылками и опционально рассказать про инод
</t>
        </r>
      </text>
    </comment>
    <comment ref="S6" authorId="0">
      <text>
        <r>
          <rPr>
            <sz val="10"/>
            <rFont val="Arial"/>
            <family val="2"/>
          </rPr>
          <t xml:space="preserve">/proc
утилита, которая выводит имя процесса, его pid и время, в течении которого он работает
</t>
        </r>
      </text>
    </comment>
    <comment ref="S11" authorId="0">
      <text>
        <r>
          <rPr>
            <sz val="10"/>
            <rFont val="Arial"/>
            <family val="2"/>
          </rPr>
          <t xml:space="preserve">- как посмотреть inode файла
- стандарные потоки
- главные дириектории в фс юникса</t>
        </r>
      </text>
    </comment>
    <comment ref="V3" authorId="0">
      <text>
        <r>
          <rPr>
            <sz val="10"/>
            <rFont val="Arial"/>
            <family val="2"/>
          </rPr>
          <t xml:space="preserve">X = 704A
Y = A7CE
Z = 9E1E</t>
        </r>
      </text>
    </comment>
    <comment ref="V4" authorId="0">
      <text>
        <r>
          <rPr>
            <sz val="10"/>
            <rFont val="Arial"/>
            <family val="2"/>
          </rPr>
          <t xml:space="preserve">A = A1CE
B = DDDD
C = 1831</t>
        </r>
      </text>
    </comment>
    <comment ref="V7" authorId="0">
      <text>
        <r>
          <rPr>
            <sz val="10"/>
            <rFont val="Arial"/>
            <family val="2"/>
          </rPr>
          <t xml:space="preserve">A = FFFF
B = 9090
C = A999</t>
        </r>
      </text>
    </comment>
    <comment ref="V9" authorId="0">
      <text>
        <r>
          <rPr>
            <sz val="10"/>
            <rFont val="Arial"/>
            <family val="2"/>
          </rPr>
          <t xml:space="preserve">A = AAAA
B = 0213
D = 19FF</t>
        </r>
      </text>
    </comment>
    <comment ref="V12" authorId="0">
      <text>
        <r>
          <rPr>
            <sz val="10"/>
            <rFont val="Arial"/>
            <family val="2"/>
          </rPr>
          <t xml:space="preserve">A = 77A8
B = 0201
D = 3A7A</t>
        </r>
      </text>
    </comment>
    <comment ref="V13" authorId="0">
      <text>
        <r>
          <rPr>
            <sz val="10"/>
            <rFont val="Arial"/>
            <family val="2"/>
          </rPr>
          <t xml:space="preserve">A = FAEF
B = DAVA
D = 0013</t>
        </r>
      </text>
    </comment>
    <comment ref="V14" authorId="0">
      <text>
        <r>
          <rPr>
            <sz val="10"/>
            <rFont val="Arial"/>
            <family val="2"/>
          </rPr>
          <t xml:space="preserve">B = DA6A
C = AFAF
D = 0333</t>
        </r>
      </text>
    </comment>
    <comment ref="V19" authorId="0">
      <text>
        <r>
          <rPr>
            <sz val="10"/>
            <rFont val="Arial"/>
            <family val="2"/>
          </rPr>
          <t xml:space="preserve">A = A2211
B = AAAA
C = CAFE</t>
        </r>
      </text>
    </comment>
    <comment ref="V21" authorId="0">
      <text>
        <r>
          <rPr>
            <sz val="10"/>
            <rFont val="Arial"/>
            <family val="2"/>
          </rPr>
          <t xml:space="preserve">A = AAAA
C = EAEA
D = 1111</t>
        </r>
      </text>
    </comment>
    <comment ref="V22" authorId="0">
      <text>
        <r>
          <rPr>
            <sz val="10"/>
            <rFont val="Arial"/>
            <family val="2"/>
          </rPr>
          <t xml:space="preserve">A = 1010
B = C7AB
C = CABA</t>
        </r>
      </text>
    </comment>
    <comment ref="V24" authorId="0">
      <text>
        <r>
          <rPr>
            <sz val="10"/>
            <rFont val="Arial"/>
            <family val="2"/>
          </rPr>
          <t xml:space="preserve">A = DDDD
B = 2222
C = FE4D</t>
        </r>
      </text>
    </comment>
    <comment ref="V26" authorId="0">
      <text>
        <r>
          <rPr>
            <sz val="10"/>
            <rFont val="Arial"/>
            <family val="2"/>
          </rPr>
          <t xml:space="preserve">A = 0F19
B = 10AA
C = 9AF1</t>
        </r>
      </text>
    </comment>
    <comment ref="V27" authorId="0">
      <text>
        <r>
          <rPr>
            <sz val="10"/>
            <rFont val="Arial"/>
            <family val="2"/>
          </rPr>
          <t xml:space="preserve">07.02.2025
D = FFFF
A = FFAA
B = A9A5</t>
        </r>
      </text>
    </comment>
    <comment ref="V28" authorId="0">
      <text>
        <r>
          <rPr>
            <sz val="10"/>
            <rFont val="Arial"/>
            <family val="2"/>
          </rPr>
          <t xml:space="preserve">A = 0111
B = 0333
D = 000F</t>
        </r>
      </text>
    </comment>
    <comment ref="V29" authorId="0">
      <text>
        <r>
          <rPr>
            <sz val="10"/>
            <rFont val="Arial"/>
            <family val="2"/>
          </rPr>
          <t xml:space="preserve">B = CAFE
C = 0226
E = 1FFF</t>
        </r>
      </text>
    </comment>
    <comment ref="V31" authorId="0">
      <text>
        <r>
          <rPr>
            <sz val="10"/>
            <rFont val="Arial"/>
            <family val="2"/>
          </rPr>
          <t xml:space="preserve">A = 1CAF
D = 0FAC
E = CAFE</t>
        </r>
      </text>
    </comment>
    <comment ref="W12" authorId="0">
      <text>
        <r>
          <rPr>
            <sz val="10"/>
            <rFont val="Arial"/>
            <family val="2"/>
          </rPr>
          <t xml:space="preserve">ОП и ОДЗ исправить и заменить на R = D&amp;(A-B)</t>
        </r>
      </text>
    </comment>
    <comment ref="W22" authorId="0">
      <text>
        <r>
          <rPr>
            <sz val="10"/>
            <rFont val="Arial"/>
            <family val="2"/>
          </rPr>
          <t xml:space="preserve">ОДЗ</t>
        </r>
      </text>
    </comment>
    <comment ref="W24" authorId="0">
      <text>
        <r>
          <rPr>
            <sz val="10"/>
            <rFont val="Arial"/>
            <family val="2"/>
          </rPr>
          <t xml:space="preserve">+ заменить CLA и ADD на LD
вывод
+ 15 разрязное число</t>
        </r>
      </text>
    </comment>
    <comment ref="W25" authorId="0">
      <text>
        <r>
          <rPr>
            <sz val="10"/>
            <rFont val="Arial"/>
            <family val="2"/>
          </rPr>
          <t xml:space="preserve">A = 0x0000
B = 0xDEAD
C = 0XBEEF</t>
        </r>
      </text>
    </comment>
    <comment ref="W26" authorId="0">
      <text>
        <r>
          <rPr>
            <sz val="10"/>
            <rFont val="Arial"/>
            <family val="2"/>
          </rPr>
          <t xml:space="preserve">нет упрощенной программы
трассировка выполнена обычной программы</t>
        </r>
      </text>
    </comment>
    <comment ref="W30" authorId="0">
      <text>
        <r>
          <rPr>
            <sz val="10"/>
            <rFont val="Arial"/>
            <family val="2"/>
          </rPr>
          <t xml:space="preserve">A = 0xACDC
B = 0xDEAD
C = -2^15
</t>
        </r>
      </text>
    </comment>
    <comment ref="W32" authorId="0">
      <text>
        <r>
          <rPr>
            <sz val="10"/>
            <rFont val="Arial"/>
            <family val="2"/>
          </rPr>
          <t xml:space="preserve">D = 0X0000
A = 0XACDC
B = 0XFACE</t>
        </r>
      </text>
    </comment>
    <comment ref="X3" authorId="0">
      <text>
        <r>
          <rPr>
            <sz val="10"/>
            <rFont val="Arial"/>
            <family val="2"/>
          </rPr>
          <t xml:space="preserve">- CISC / RISC
кеш память
иерархия кеш памяти
маршрутиация на сетевом уровне IP</t>
        </r>
      </text>
    </comment>
    <comment ref="X4" authorId="0">
      <text>
        <r>
          <rPr>
            <sz val="10"/>
            <rFont val="Arial"/>
            <family val="2"/>
          </rPr>
          <t xml:space="preserve">+ CISC / RISC
+ ISA - циклы
маршрутиация на сетевом уровне IP, сетевой уровень IP</t>
        </r>
      </text>
    </comment>
    <comment ref="X5" authorId="0">
      <text>
        <r>
          <rPr>
            <sz val="10"/>
            <rFont val="Arial"/>
            <family val="2"/>
          </rPr>
          <t xml:space="preserve">Сколько обращений к памяти у команды E105 (ST 105)
Что делает ALU?
</t>
        </r>
      </text>
    </comment>
    <comment ref="X7" authorId="0">
      <text>
        <r>
          <rPr>
            <sz val="10"/>
            <rFont val="Arial"/>
            <family val="2"/>
          </rPr>
          <t xml:space="preserve">+ Виды команд, режимы адресации
+/-- ISA - циклы
Иерархия памяти, кеш память</t>
        </r>
      </text>
    </comment>
    <comment ref="X9" authorId="0">
      <text>
        <r>
          <rPr>
            <sz val="10"/>
            <rFont val="Arial"/>
            <family val="2"/>
          </rPr>
          <t xml:space="preserve">+ Фон Нейман vs Гарвард
+ Как реализован арифметический сдвиг влево
+ Эволюция девочки с ВТ
+ CISC и RISC</t>
        </r>
      </text>
    </comment>
    <comment ref="X12" authorId="0">
      <text>
        <r>
          <rPr>
            <sz val="10"/>
            <rFont val="Arial"/>
            <family val="2"/>
          </rPr>
          <t xml:space="preserve">+ фон нейман / гарвард
+ RISC / CISC 
+ memory-to-memory
+ register-to-register
+ команды в БЭВМ</t>
        </r>
      </text>
    </comment>
    <comment ref="X13" authorId="0">
      <text>
        <r>
          <rPr>
            <sz val="10"/>
            <rFont val="Arial"/>
            <family val="2"/>
          </rPr>
          <t xml:space="preserve">+ Режимы адресации
+ Фон Нейман + Гарвард / CISC + RISC
+ Кеш память + уровни</t>
        </r>
      </text>
    </comment>
    <comment ref="X14" authorId="0">
      <text>
        <r>
          <rPr>
            <sz val="10"/>
            <rFont val="Arial"/>
            <family val="2"/>
          </rPr>
          <t xml:space="preserve">+ Фон Неймана: ControlUnit, ISA, Datapath
+ Что такое Stack-Oriented Processors
+ Механизм обработки прерываний</t>
        </r>
      </text>
    </comment>
    <comment ref="X16" authorId="0">
      <text>
        <r>
          <rPr>
            <sz val="10"/>
            <rFont val="Arial"/>
            <family val="2"/>
          </rPr>
          <t xml:space="preserve">какие в бэвм есть машинные циклы
что умеет коммутатор 
виды адресаций
</t>
        </r>
      </text>
    </comment>
    <comment ref="X19" authorId="0">
      <text>
        <r>
          <rPr>
            <sz val="10"/>
            <rFont val="Arial"/>
            <family val="2"/>
          </rPr>
          <t xml:space="preserve">+ Как выставляется C и V
+ Прямой, дополнительный и обратный код
+ Умножение на два
+ Пирамида памяти</t>
        </r>
      </text>
    </comment>
    <comment ref="X21" authorId="0">
      <text>
        <r>
          <rPr>
            <sz val="10"/>
            <rFont val="Arial"/>
            <family val="2"/>
          </rPr>
          <t xml:space="preserve">+ Коммутатор, АЛУ, что будет, если не подать данные на одну из ножек, инкремент и декремент
+ Виды ввода-вывода в фон-Неймановских процессорах: на уровне системы команд (порт, отображение в память), программно-управляемый ввод-вывод, ввод-вывод через механизм прерываний, механизм прямого доступа к памяти
+ кеш память - уровни, когерентность кеш памяти &amp; состояния кеш-линий (MOESI)</t>
        </r>
      </text>
    </comment>
    <comment ref="X22" authorId="0">
      <text>
        <r>
          <rPr>
            <sz val="10"/>
            <rFont val="Arial"/>
            <family val="2"/>
          </rPr>
          <t xml:space="preserve">+ CISC / RISC
+ Состояния кеш линий MOESI
маршрутиация на сетевом уровне IP</t>
        </r>
      </text>
    </comment>
    <comment ref="X24" authorId="0">
      <text>
        <r>
          <rPr>
            <sz val="10"/>
            <rFont val="Arial"/>
            <family val="2"/>
          </rPr>
          <t xml:space="preserve">+ Устройство и принцип работы ROM, SRAM, DRAM ячеек, что такое random access memory
+ Фон Неймана + Гарварда
+ CISC + RISC
+ Кеш память: L0,1,2,3
+ banked и shared кеш</t>
        </r>
      </text>
    </comment>
    <comment ref="X26" authorId="0">
      <text>
        <r>
          <rPr>
            <sz val="10"/>
            <rFont val="Arial"/>
            <family val="2"/>
          </rPr>
          <t xml:space="preserve">+ CISC / RISC
+ кеш память: L0, L1, L2, L3
Что такое Stack-Oriented Processors</t>
        </r>
      </text>
    </comment>
    <comment ref="X27" authorId="0">
      <text>
        <r>
          <rPr>
            <sz val="10"/>
            <rFont val="Arial"/>
            <family val="2"/>
          </rPr>
          <t xml:space="preserve">Фон Нейман vs гарвардская архитектура / CISC / RISC
L0, L1, L2, L3 кеш
пирамида памяти</t>
        </r>
      </text>
    </comment>
    <comment ref="X28" authorId="0">
      <text>
        <r>
          <rPr>
            <sz val="10"/>
            <rFont val="Arial"/>
            <family val="2"/>
          </rPr>
          <t xml:space="preserve">+ CICS vs RISC
+ кеш память: L0, L1, L2, L3
+ как работает стек - SP</t>
        </r>
      </text>
    </comment>
    <comment ref="X29" authorId="0">
      <text>
        <r>
          <rPr>
            <sz val="10"/>
            <rFont val="Arial"/>
            <family val="2"/>
          </rPr>
          <t xml:space="preserve">+ Машинные циклы
+ CISC  / RISC
+ Ядро процессора и его содержимое + многоядерность
+ кеш-линии</t>
        </r>
      </text>
    </comment>
    <comment ref="X31" authorId="0">
      <text>
        <r>
          <rPr>
            <sz val="10"/>
            <rFont val="Arial"/>
            <family val="2"/>
          </rPr>
          <t xml:space="preserve">+ АЛУ, Коммутатор, УУ (флаг V)
+ Реализация инверсии
+/- CISC/RISC по дефолту
+/- кеш память/линии (MOESI)</t>
        </r>
      </text>
    </comment>
    <comment ref="X32" authorId="0">
      <text>
        <r>
          <rPr>
            <sz val="10"/>
            <rFont val="Arial"/>
            <family val="2"/>
          </rPr>
          <t xml:space="preserve">виды адресаций в БЭВМ
фон Нейман vs Гарвард
кэш миссы и их влияние на производительность</t>
        </r>
      </text>
    </comment>
    <comment ref="AL26" authorId="0">
      <text>
        <r>
          <rPr>
            <sz val="10"/>
            <rFont val="Arial"/>
            <family val="2"/>
          </rPr>
          <t xml:space="preserve">Вопрос про ASCII: сказал, что "1 байт равен 16 битам, значит одна ячейка может хранить один ASCII символ". Потом сказал, что ячейка памяти хранит 8 бит
про коммутатор ответил с подсказками
---
2 попытка - КОИ-8 и КОИ-8R, про них рассказал нормально, но потом сказал, что в одной ячейке памяти нашей БЭВМ хранится 8 бит. Не смог показать Memory Unit в bcomp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B38" authorId="0">
      <text>
        <r>
          <rPr>
            <sz val="10"/>
            <rFont val="Arial"/>
            <family val="2"/>
          </rPr>
          <t xml:space="preserve">пока поконтролирую ее сама (ЕН)</t>
        </r>
      </text>
    </comment>
    <comment ref="E20" authorId="0">
      <text>
        <r>
          <rPr>
            <sz val="10"/>
            <rFont val="Arial"/>
            <family val="2"/>
          </rPr>
          <t xml:space="preserve">Прислал справку</t>
        </r>
      </text>
    </comment>
    <comment ref="Q17" authorId="0">
      <text>
        <r>
          <rPr>
            <sz val="10"/>
            <rFont val="Arial"/>
            <family val="2"/>
          </rPr>
          <t xml:space="preserve">- 4.3 redirect errors, not the output
- lab report</t>
        </r>
      </text>
    </comment>
    <comment ref="Q23" authorId="0">
      <text>
        <r>
          <rPr>
            <sz val="10"/>
            <rFont val="Arial"/>
            <family val="2"/>
          </rPr>
          <t xml:space="preserve">показать рабочий ssh-ключ</t>
        </r>
      </text>
    </comment>
    <comment ref="Q25" authorId="0">
      <text>
        <r>
          <rPr>
            <sz val="10"/>
            <rFont val="Arial"/>
            <family val="2"/>
          </rPr>
          <t xml:space="preserve">показать ssh</t>
        </r>
      </text>
    </comment>
    <comment ref="Q31" authorId="0">
      <text>
        <r>
          <rPr>
            <sz val="10"/>
            <rFont val="Arial"/>
            <family val="2"/>
          </rPr>
          <t xml:space="preserve">- what other types can the find command operate on
- Demonstrate your execution of the script on helios</t>
        </r>
      </text>
    </comment>
    <comment ref="R29" authorId="0">
      <text>
        <r>
          <rPr>
            <sz val="10"/>
            <rFont val="Arial"/>
            <family val="2"/>
          </rPr>
          <t xml:space="preserve">сделать 2&gt;&amp;1 1&gt;&amp;2 только правильно
какие существуют команды-фильтры
sticky bit
</t>
        </r>
      </text>
    </comment>
    <comment ref="U4" authorId="0">
      <text>
        <r>
          <rPr>
            <sz val="10"/>
            <rFont val="Arial"/>
            <family val="2"/>
          </rPr>
          <t xml:space="preserve">- одз
- упростить программу</t>
        </r>
      </text>
    </comment>
    <comment ref="U13" authorId="0">
      <text>
        <r>
          <rPr>
            <sz val="10"/>
            <rFont val="Arial"/>
            <family val="2"/>
          </rPr>
          <t xml:space="preserve">- Why does BR contain the address of the current command
- ALU - how is OR implemented in the basic computer
- Commutator  - what does it do?</t>
        </r>
      </text>
    </comment>
    <comment ref="U14" authorId="0">
      <text>
        <r>
          <rPr>
            <sz val="10"/>
            <rFont val="Arial"/>
            <family val="2"/>
          </rPr>
          <t xml:space="preserve">- Почему в BR лежит адрес текущей команды</t>
        </r>
      </text>
    </comment>
    <comment ref="U26" authorId="0">
      <text>
        <r>
          <rPr>
            <sz val="10"/>
            <rFont val="Arial"/>
            <family val="2"/>
          </rPr>
          <t xml:space="preserve">одз исправить</t>
        </r>
      </text>
    </comment>
    <comment ref="W18" authorId="0">
      <text>
        <r>
          <rPr>
            <sz val="10"/>
            <rFont val="Arial"/>
            <family val="2"/>
          </rPr>
          <t xml:space="preserve">виды адресаций в бэвм
CISC</t>
        </r>
      </text>
    </comment>
    <comment ref="W24" authorId="0">
      <text>
        <r>
          <rPr>
            <sz val="10"/>
            <rFont val="Arial"/>
            <family val="2"/>
          </rPr>
          <t xml:space="preserve">виды адресаций в бэвм
RISC</t>
        </r>
      </text>
    </comment>
    <comment ref="W29" authorId="0">
      <text>
        <r>
          <rPr>
            <sz val="10"/>
            <rFont val="Arial"/>
            <family val="2"/>
          </rPr>
          <t xml:space="preserve">виды адресаций в бэвм
VLIW</t>
        </r>
      </text>
    </comment>
    <comment ref="X23" authorId="0">
      <text>
        <r>
          <rPr>
            <sz val="10"/>
            <rFont val="Arial"/>
            <family val="2"/>
          </rPr>
          <t xml:space="preserve">виды адресаций в БЭВМ
UMA/NUMA
фон Неймановская vs Гарвардская архитектуры</t>
        </r>
      </text>
    </comment>
    <comment ref="AH9" authorId="0">
      <text>
        <r>
          <rPr>
            <sz val="10"/>
            <rFont val="Arial"/>
            <family val="2"/>
          </rPr>
          <t xml:space="preserve">перепись - минимум</t>
        </r>
      </text>
    </comment>
    <comment ref="AH11" authorId="0">
      <text>
        <r>
          <rPr>
            <sz val="10"/>
            <rFont val="Arial"/>
            <family val="2"/>
          </rPr>
          <t xml:space="preserve">перепись-минимум</t>
        </r>
      </text>
    </comment>
    <comment ref="AH16" authorId="0">
      <text>
        <r>
          <rPr>
            <sz val="10"/>
            <rFont val="Arial"/>
            <family val="2"/>
          </rPr>
          <t xml:space="preserve">Look at how ASL is implemented in BVM and how it uses the DR register</t>
        </r>
      </text>
    </comment>
    <comment ref="AH19" authorId="0">
      <text>
        <r>
          <rPr>
            <sz val="10"/>
            <rFont val="Arial"/>
            <family val="2"/>
          </rPr>
          <t xml:space="preserve">перепись - минимум</t>
        </r>
      </text>
    </comment>
    <comment ref="AH20" authorId="0">
      <text>
        <r>
          <rPr>
            <sz val="10"/>
            <rFont val="Arial"/>
            <family val="2"/>
          </rPr>
          <t xml:space="preserve">ST и DR
флаги</t>
        </r>
      </text>
    </comment>
    <comment ref="AH22" authorId="0">
      <text>
        <r>
          <rPr>
            <sz val="10"/>
            <rFont val="Arial"/>
            <family val="2"/>
          </rPr>
          <t xml:space="preserve">перепись - минимум</t>
        </r>
      </text>
    </comment>
    <comment ref="AH26" authorId="0">
      <text>
        <r>
          <rPr>
            <sz val="10"/>
            <rFont val="Arial"/>
            <family val="2"/>
          </rPr>
          <t xml:space="preserve">как дробные 16-ричные числа у тебя получились то я не пойму</t>
        </r>
      </text>
    </comment>
    <comment ref="AH27" authorId="0">
      <text>
        <r>
          <rPr>
            <sz val="10"/>
            <rFont val="Arial"/>
            <family val="2"/>
          </rPr>
          <t xml:space="preserve">перепутал коды ASL и ROL
ST и DR</t>
        </r>
      </text>
    </comment>
    <comment ref="AH30" authorId="0">
      <text>
        <r>
          <rPr>
            <sz val="10"/>
            <rFont val="Arial"/>
            <family val="2"/>
          </rPr>
          <t xml:space="preserve">OR и BR
ASL и DR
флаги</t>
        </r>
      </text>
    </comment>
    <comment ref="AL14" authorId="0">
      <text>
        <r>
          <rPr>
            <sz val="10"/>
            <rFont val="Arial"/>
            <family val="2"/>
          </rPr>
          <t xml:space="preserve">грустно
upd: все еще грустно</t>
        </r>
      </text>
    </comment>
    <comment ref="AL32" authorId="0">
      <text>
        <r>
          <rPr>
            <sz val="10"/>
            <rFont val="Arial"/>
            <family val="2"/>
          </rPr>
          <t xml:space="preserve">сети не расписал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U4" authorId="0">
      <text>
        <r>
          <rPr>
            <sz val="10"/>
            <rFont val="Arial"/>
            <family val="2"/>
          </rPr>
          <t xml:space="preserve">- CR, команда 3567</t>
        </r>
      </text>
    </comment>
    <comment ref="U6" authorId="0">
      <text>
        <r>
          <rPr>
            <sz val="10"/>
            <rFont val="Arial"/>
            <family val="2"/>
          </rPr>
          <t xml:space="preserve">A = 0x6666
D = 0x1001
C = 0xFFFF</t>
        </r>
      </text>
    </comment>
    <comment ref="AH5" authorId="0">
      <text>
        <r>
          <rPr>
            <sz val="10"/>
            <rFont val="Arial"/>
            <family val="2"/>
          </rPr>
          <t xml:space="preserve">ST и DR</t>
        </r>
      </text>
    </comment>
    <comment ref="AH6" authorId="0">
      <text>
        <r>
          <rPr>
            <sz val="10"/>
            <rFont val="Arial"/>
            <family val="2"/>
          </rPr>
          <t xml:space="preserve">результат неправильный</t>
        </r>
      </text>
    </comment>
    <comment ref="AH7" authorId="0">
      <text>
        <r>
          <rPr>
            <sz val="10"/>
            <rFont val="Arial"/>
            <family val="2"/>
          </rPr>
          <t xml:space="preserve">исправил правильное значение :[
ST и DR</t>
        </r>
      </text>
    </comment>
    <comment ref="AH12" authorId="0">
      <text>
        <r>
          <rPr>
            <sz val="10"/>
            <rFont val="Arial"/>
            <family val="2"/>
          </rPr>
          <t xml:space="preserve">ужасная формула
правильная, но ужасная</t>
        </r>
      </text>
    </comment>
    <comment ref="AH13" authorId="0">
      <text>
        <r>
          <rPr>
            <sz val="10"/>
            <rFont val="Arial"/>
            <family val="2"/>
          </rPr>
          <t xml:space="preserve">перепись - минимум</t>
        </r>
      </text>
    </comment>
    <comment ref="AH14" authorId="0">
      <text>
        <r>
          <rPr>
            <sz val="10"/>
            <rFont val="Arial"/>
            <family val="2"/>
          </rPr>
          <t xml:space="preserve">ST и DR</t>
        </r>
      </text>
    </comment>
    <comment ref="AH16" authorId="0">
      <text>
        <r>
          <rPr>
            <sz val="10"/>
            <rFont val="Arial"/>
            <family val="2"/>
          </rPr>
          <t xml:space="preserve">перепись - минимум</t>
        </r>
      </text>
    </comment>
    <comment ref="AH17" authorId="0">
      <text>
        <r>
          <rPr>
            <sz val="10"/>
            <rFont val="Arial"/>
            <family val="2"/>
          </rPr>
          <t xml:space="preserve">ST и DR</t>
        </r>
      </text>
    </comment>
    <comment ref="AH19" authorId="0">
      <text>
        <r>
          <rPr>
            <sz val="10"/>
            <rFont val="Arial"/>
            <family val="2"/>
          </rPr>
          <t xml:space="preserve">перепись 25,01 - до этого не был в городе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F2" authorId="0">
      <text>
        <r>
          <rPr>
            <sz val="10"/>
            <rFont val="Arial"/>
            <family val="2"/>
          </rPr>
          <t xml:space="preserve">замещение на 19.10</t>
        </r>
      </text>
    </comment>
    <comment ref="Q3" authorId="0">
      <text>
        <r>
          <rPr>
            <sz val="10"/>
            <rFont val="Arial"/>
            <family val="2"/>
          </rPr>
          <t xml:space="preserve">1) 4.4.Сделать тоже самое только с "начинающихся на буквы 's' " (+)
2) chmod половину переделать на буквенные (+)
3) пути поменять на относительные (+)
4) закинуть на гелиос и проверить работу (+)
5) проверить работу символческих ссылок (-)
</t>
        </r>
      </text>
    </comment>
    <comment ref="Q5" authorId="0">
      <text>
        <r>
          <rPr>
            <sz val="10"/>
            <rFont val="Arial"/>
            <family val="2"/>
          </rPr>
          <t xml:space="preserve">1) Поменять все пути на относительные (+)
2) chmod в разный вариантах (+) 
3) И остальные вопросы к лабе
4) mkdir флаги (+)
5) починиать символьные ссылки (+)
6) Посмотреть на работу перенаправления потоков (+)
7) Выводить содержимое файлов их /tmp в отчет (+)
8) 2&gt; &gt;(grep 'Permission denied' &gt; /dev/null) (+)
9) сортировка ls -t
10) wc fff&gt;fff &amp;&amp; cat fff
11) wc fff&gt;&gt;fff &amp;&amp; cat fff
12) wc fff&gt;&gt;&gt;fff &amp;&amp; cat fff
13) chmod u=-w-,g=r-x,o=r-- gorin (+)</t>
        </r>
      </text>
    </comment>
    <comment ref="Q6" authorId="0">
      <text>
        <r>
          <rPr>
            <sz val="10"/>
            <rFont val="Arial"/>
            <family val="2"/>
          </rPr>
          <t xml:space="preserve">1) разобраться в cd минус и cd минус минус (+)
2) разобаться с точкой и две точки (+)
3) chmod половину написать на буквенном формате (+)
4) символьную ссылку сделать без абсолютного пути (+)
5) использовать tmp по пути /tmp (+)
6) пункт 4 в отчете сделать формат: Здаание - команда - вывод в терминале (+)
7) 4.5 переделать (+)
8) inode (+)
9) wc -c fff &gt; fff (+)
10) chmod u=r--,g=-w-, o=-w- file</t>
        </r>
      </text>
    </comment>
    <comment ref="Q7" authorId="0">
      <text>
        <r>
          <rPr>
            <sz val="10"/>
            <rFont val="Arial"/>
            <family val="2"/>
          </rPr>
          <t xml:space="preserve">1) Половина команд chmod на буквенный (+)
2) Задание 3 - убрать chmod 777 (+)
3) Задание 3 - ln -s сделать с относительными путями (+)
3.1) Проверить работу символьных ссылок (в отчете команда с неработающей ссылкой) (-)
4) ls -lR после выполнения пункта 3  (+)
5) Выполнение команд вставить в отчет (+)
6) 4.3 выводит не только содержимое текущих директорий (-)
7) 4.1 поправить работу команды (-)
</t>
        </r>
      </text>
    </comment>
    <comment ref="Q8" authorId="0">
      <text>
        <r>
          <rPr>
            <sz val="10"/>
            <rFont val="Arial"/>
            <family val="2"/>
          </rPr>
          <t xml:space="preserve">1) исправить пути на относительные  (+)
2) разобраться в символической ссылке (-)
3) Вывод 4 пункта сделать вида: Задание - команда - вывод программы (+)
4) Вывод по отчету (+)
5) 4.2 (+)
6) Перенаправление потоков (+)
7) БОЛЬШЕ ВОПРОСОВ НЕ ЗАДАВАТЬ</t>
        </r>
      </text>
    </comment>
    <comment ref="Q9" authorId="0">
      <text>
        <r>
          <rPr>
            <sz val="10"/>
            <rFont val="Arial"/>
            <family val="2"/>
          </rPr>
          <t xml:space="preserve">1) Пункт 4 сделать читабельный вывод (Задание - команда - вывод) (+)
2) echo -e (+)
3) ln -s (+)
4) lab0 странный внутри  lab0 (+)
5) команда touch (+)
6) группы и пользователи (+)
7) hard links  &lt;-&gt; inode (+)
8) echo U+29E7 leavanny6 (+)
9) cp -R d1 d1/d2  (посмотреть на рекурсию копирования файлов) (+)
10)  4.2 (+)
11) вопросы по командам из 4 задания
12) пункт 4.1 
13) способы создания файла
14)</t>
        </r>
      </text>
    </comment>
    <comment ref="Q10" authorId="0">
      <text>
        <r>
          <rPr>
            <sz val="10"/>
            <rFont val="Arial"/>
            <family val="2"/>
          </rPr>
          <t xml:space="preserve">1) Поменять половину команды chmod на буквенный формат (+)
2) разобраться в работе символьных ссылок (использовать относительные пути) (+)
3) Вывод 4 пункта сделать вида: Задание - команда - вывод программы (+)
4) пунты 4.5 4.6 исправить  (+)</t>
        </r>
      </text>
    </comment>
    <comment ref="Q12" authorId="0">
      <text>
        <r>
          <rPr>
            <sz val="10"/>
            <rFont val="Arial"/>
            <family val="2"/>
          </rPr>
          <t xml:space="preserve">1) Разобраться с mkdir ~lab0/carvanha4/wobbuffet (+)
2) Вставить в отчёт вывод команды ls -lR после выполнения задания 3 (+)
3) Поменять все пути на относительные (+)
4) Разобраться в работе символных ссылок (-)
5) Для задания 4 вставить 
в отчет вывод в формате
Задание - команды - Вывод команды (+)
6) 4.1(-), 4.5 (+), 4.6  (+)</t>
        </r>
      </text>
    </comment>
    <comment ref="Q13" authorId="0">
      <text>
        <r>
          <rPr>
            <sz val="10"/>
            <rFont val="Arial"/>
            <family val="2"/>
          </rPr>
          <t xml:space="preserve">1) почему работает без команды touch (+)
2) chmod поменять половину на буквенные (+)
3) 4.2 поменять на поиск по символу 's' (+)
4) Вывод команды ls -l (+)
5) wc флаги (будет вопросик)  (+)
5) работа с chmod (будет вопросик)</t>
        </r>
      </text>
    </comment>
    <comment ref="Q14" authorId="0">
      <text>
        <r>
          <rPr>
            <sz val="10"/>
            <rFont val="Arial"/>
            <family val="2"/>
          </rPr>
          <t xml:space="preserve">1) проверить работу символической ссылки (-) (ln -s whirlpede3 ./larvesta6/wigglytuffwhirlpede)
2) 3 пункт - менять права с использованием буквенных chmod (+)
3) ключи mkdir (+)
4) "" от ' (экранирование символов) (+)
5) работа с командой wc (будет вопрос) (+)
6) работа с командой chmod (буквенный стиль) (будет вопрос)
7) все вопросы спросил (скинуть отчет)</t>
        </r>
      </text>
    </comment>
    <comment ref="Q15" authorId="0">
      <text>
        <r>
          <rPr>
            <sz val="10"/>
            <rFont val="Arial"/>
            <family val="2"/>
          </rPr>
          <t xml:space="preserve">1) ключи в команде echo (+)
2) сделать пути относительные (+)
3) вывод пункта 4 сделать в формате: Задание - команда - вывод команды (+)
4) Вывод ls -R после выполнения пункта 3 (+)
5) починить ссылку umbreonpansear (+)
6) 4.1 перенаправление (+)
7) 4.3 странный вывод (+)
</t>
        </r>
      </text>
    </comment>
    <comment ref="Q16" authorId="0">
      <text>
        <r>
          <rPr>
            <sz val="10"/>
            <rFont val="Arial"/>
            <family val="2"/>
          </rPr>
          <t xml:space="preserve">1) Разобраться с символьными ссылками (+)
2) Сделать в отчете иной вывод для задания 4 (+)
3) Все остальные вопросы
4) что делает команда touch (+)
5) mkdir d1/d2/d3 (+)
6) пункт 3 не использовать chmod 777 (+)
7) символьные ссылки починить (+)
8) пункт 4.6 Разобраться будет ли работать команда с символьными ссылками (+)
9) 4.2 и 4.3 проверить на правильность работы (+)
10) порядок выполнения команд (echo &gt;file 123) (cat file &gt; file (not empty)) (+)
11) группы и пользователи (+)
12) wc флаги (+)
13) rmdir на непустую директорию (+)</t>
        </r>
      </text>
    </comment>
    <comment ref="Q17" authorId="0">
      <text>
        <r>
          <rPr>
            <sz val="10"/>
            <rFont val="Arial"/>
            <family val="2"/>
          </rPr>
          <t xml:space="preserve">1) поменять ошибку chmod -wx--x--x mankey7/lampent (-)
2) ln -s vibrava6 swalot5/swannavibrava (проверить работу ссылки, сперва прочитать файл как есть, потом файл по ссылке) (-)
3) лаба должна содержаться по пути /home/studs/s***/lab0 . (-)
4) разобраться в работе команды cd в скрипте, чтобы он не ходил в домашнюю директорию (+)
5) задание 4 переделать в отчете в вид: Задание - команда - вывод
</t>
        </r>
      </text>
    </comment>
    <comment ref="Q18" authorId="0">
      <text>
        <r>
          <rPr>
            <sz val="10"/>
            <rFont val="Arial"/>
            <family val="2"/>
          </rPr>
          <t xml:space="preserve">1) проверить и исправить символьные ссылки (-)
2) Вывод 4 пункта сделать вида: Задание - команда - вывод программы (+)
3) chmod на половине использовать буквенные команды (+)
4) Относительные и абсолютные пути (+)
5) жесткие и мягкие ссылки (+)
6) вывод команды ls -l (пояснить за вывод) (-)
7) работа команды chmod (+)
8) работа и флаги команды wc (будет вопрос) (+)
9) перенаправление потоков (+)
10) inode (+)
11) команда cd без аргументов (и всё остальное)
12) типы файлов ( d- директория, ...)
</t>
        </r>
      </text>
    </comment>
    <comment ref="Q19" authorId="0">
      <text>
        <r>
          <rPr>
            <sz val="10"/>
            <rFont val="Arial"/>
            <family val="2"/>
          </rPr>
          <t xml:space="preserve">1) Проверить работу символических ссылок -&gt; передеать неработающие
2) Переделать на передачу вывода одной команды на вход другой через пайп ( pipe)  (убрать вложенность командн)
3) Пункт 4 сделать в формате: 
Задание - Команда - Вывод
4) половину chmod поменять на буквенный стиль</t>
        </r>
      </text>
    </comment>
    <comment ref="Q20" authorId="0">
      <text>
        <r>
          <rPr>
            <sz val="10"/>
            <rFont val="Arial"/>
            <family val="2"/>
          </rPr>
          <t xml:space="preserve">1) Убедиться в работе символьных ссылок (+)
2) Вывод 4 пункта сделать вида: Задание - команда - вывод программы (+)
3) общий скрипт для всех пунктов сразу
4) способы создания файла (+)
5) mkdir (+)
6) chmod (+)
7) пункты 4.4, 4.5 испавить (+)
После выполенния пунктов освободить
8) 4.2 переделать по заданию (+)
9) что такое #!/usr/bin/bash</t>
        </r>
      </text>
    </comment>
    <comment ref="U3" authorId="0">
      <text>
        <r>
          <rPr>
            <sz val="10"/>
            <rFont val="Arial"/>
            <family val="2"/>
          </rPr>
          <t xml:space="preserve">1) Сократить число команд</t>
        </r>
      </text>
    </comment>
    <comment ref="U8" authorId="0">
      <text>
        <r>
          <rPr>
            <sz val="10"/>
            <rFont val="Arial"/>
            <family val="2"/>
          </rPr>
          <t xml:space="preserve">1) ОДЗ</t>
        </r>
      </text>
    </comment>
    <comment ref="U13" authorId="0">
      <text>
        <r>
          <rPr>
            <sz val="10"/>
            <rFont val="Arial"/>
            <family val="2"/>
          </rPr>
          <t xml:space="preserve">ОДЗ переделать
</t>
        </r>
      </text>
    </comment>
    <comment ref="U17" authorId="0">
      <text>
        <r>
          <rPr>
            <sz val="10"/>
            <rFont val="Arial"/>
            <family val="2"/>
          </rPr>
          <t xml:space="preserve">1) Переделать мнемонику в таблице
2) Переделать формулу и ОДЗ (дважды встречается значение А)
3) Переделать трасировку</t>
        </r>
      </text>
    </comment>
    <comment ref="V3" authorId="0">
      <text>
        <r>
          <rPr>
            <sz val="10"/>
            <rFont val="Arial"/>
            <family val="2"/>
          </rPr>
          <t xml:space="preserve">A = F313
B = 8FFF
C = 0008</t>
        </r>
      </text>
    </comment>
    <comment ref="V5" authorId="0">
      <text>
        <r>
          <rPr>
            <sz val="10"/>
            <rFont val="Arial"/>
            <family val="2"/>
          </rPr>
          <t xml:space="preserve">1) ОДЗ (+)
2) Таблицы с программой (+)
3) X = CAFE
A = 8313
B = CA77</t>
        </r>
      </text>
    </comment>
    <comment ref="V6" authorId="0">
      <text>
        <r>
          <rPr>
            <sz val="10"/>
            <rFont val="Arial"/>
            <family val="2"/>
          </rPr>
          <t xml:space="preserve">A=0313
D=C418
C=FCFC</t>
        </r>
      </text>
    </comment>
    <comment ref="V8" authorId="0">
      <text>
        <r>
          <rPr>
            <sz val="10"/>
            <rFont val="Arial"/>
            <family val="2"/>
          </rPr>
          <t xml:space="preserve">A=F0F1
X=3131
E=0712</t>
        </r>
      </text>
    </comment>
    <comment ref="V9" authorId="0">
      <text>
        <r>
          <rPr>
            <sz val="10"/>
            <rFont val="Arial"/>
            <family val="2"/>
          </rPr>
          <t xml:space="preserve">A=0505
B=D313
C=4FFF</t>
        </r>
      </text>
    </comment>
    <comment ref="V10" authorId="0">
      <text>
        <r>
          <rPr>
            <sz val="10"/>
            <rFont val="Arial"/>
            <family val="2"/>
          </rPr>
          <t xml:space="preserve">A=F1FA
B=0C61
C=7FFF</t>
        </r>
      </text>
    </comment>
    <comment ref="V13" authorId="0">
      <text>
        <r>
          <rPr>
            <sz val="10"/>
            <rFont val="Arial"/>
            <family val="2"/>
          </rPr>
          <t xml:space="preserve">A=5005
B=6320
C=FF00</t>
        </r>
      </text>
    </comment>
    <comment ref="V14" authorId="0">
      <text>
        <r>
          <rPr>
            <sz val="10"/>
            <rFont val="Arial"/>
            <family val="2"/>
          </rPr>
          <t xml:space="preserve">A=C030
C=1515
D=0331</t>
        </r>
      </text>
    </comment>
    <comment ref="V15" authorId="0">
      <text>
        <r>
          <rPr>
            <sz val="10"/>
            <rFont val="Arial"/>
            <family val="2"/>
          </rPr>
          <t xml:space="preserve">A=3103
C=B601
X=0021</t>
        </r>
      </text>
    </comment>
    <comment ref="V16" authorId="0">
      <text>
        <r>
          <rPr>
            <sz val="10"/>
            <rFont val="Arial"/>
            <family val="2"/>
          </rPr>
          <t xml:space="preserve">1) A=8313
B=FAC6
C=0F0F</t>
        </r>
      </text>
    </comment>
    <comment ref="V17" authorId="0">
      <text>
        <r>
          <rPr>
            <sz val="10"/>
            <rFont val="Arial"/>
            <family val="2"/>
          </rPr>
          <t xml:space="preserve">A=C418
B=0200
D=8080
Сделать трасировку
Сделать программу с меньшим числом команд</t>
        </r>
      </text>
    </comment>
    <comment ref="V18" authorId="0">
      <text>
        <r>
          <rPr>
            <sz val="10"/>
            <rFont val="Arial"/>
            <family val="2"/>
          </rPr>
          <t xml:space="preserve">A=4003
B=3130
D=FFFF</t>
        </r>
      </text>
    </comment>
    <comment ref="V19" authorId="0">
      <text>
        <r>
          <rPr>
            <sz val="10"/>
            <rFont val="Arial"/>
            <family val="2"/>
          </rPr>
          <t xml:space="preserve">A=0741
B=5050
C=3130</t>
        </r>
      </text>
    </comment>
    <comment ref="V20" authorId="0">
      <text>
        <r>
          <rPr>
            <sz val="10"/>
            <rFont val="Arial"/>
            <family val="2"/>
          </rPr>
          <t xml:space="preserve">A = 0313
B = 5051
D = F1FA</t>
        </r>
      </text>
    </comment>
    <comment ref="W15" authorId="0">
      <text>
        <r>
          <rPr>
            <sz val="10"/>
            <rFont val="Arial"/>
            <family val="2"/>
          </rPr>
          <t xml:space="preserve">Разобраться со значеним в BR</t>
        </r>
      </text>
    </comment>
    <comment ref="X8" authorId="0">
      <text>
        <r>
          <rPr>
            <sz val="10"/>
            <rFont val="Arial"/>
            <family val="2"/>
          </rPr>
          <t xml:space="preserve">1) Память 
2) Команды 
3) Регистры 
4) Циклы </t>
        </r>
      </text>
    </comment>
    <comment ref="X15" authorId="0">
      <text>
        <r>
          <rPr>
            <sz val="10"/>
            <rFont val="Arial"/>
            <family val="2"/>
          </rPr>
          <t xml:space="preserve">1) Память (+)
2) Команды (+-)
3) Регистры (+-)
4) Циклы (-)
</t>
        </r>
      </text>
    </comment>
    <comment ref="X18" authorId="0">
      <text>
        <r>
          <rPr>
            <sz val="10"/>
            <rFont val="Arial"/>
            <family val="2"/>
          </rPr>
          <t xml:space="preserve">1) Память (+)
2) Команды (+)
3) Регистры (+)
4) Циклы (+)</t>
        </r>
      </text>
    </comment>
    <comment ref="AH4" authorId="0">
      <text>
        <r>
          <rPr>
            <sz val="10"/>
            <rFont val="Arial"/>
            <family val="2"/>
          </rPr>
          <t xml:space="preserve">Пустая работа</t>
        </r>
      </text>
    </comment>
    <comment ref="AH6" authorId="0">
      <text>
        <r>
          <rPr>
            <sz val="10"/>
            <rFont val="Arial"/>
            <family val="2"/>
          </rPr>
          <t xml:space="preserve">Неверные вычисления</t>
        </r>
      </text>
    </comment>
    <comment ref="AH8" authorId="0">
      <text>
        <r>
          <rPr>
            <sz val="10"/>
            <rFont val="Arial"/>
            <family val="2"/>
          </rPr>
          <t xml:space="preserve">Небольшая ошибка (зачем то был сделан -1 на втором шаге), которая привела к неправильному ответу
Такая же ошибка в формуле</t>
        </r>
      </text>
    </comment>
    <comment ref="AH9" authorId="0">
      <text>
        <r>
          <rPr>
            <sz val="10"/>
            <rFont val="Arial"/>
            <family val="2"/>
          </rPr>
          <t xml:space="preserve">Ошибка на шаге ASL, нправильная работа с командой (ASL - сдвиг влево, а не вправо)
Поэтому результат неверный</t>
        </r>
      </text>
    </comment>
    <comment ref="AH12" authorId="0">
      <text>
        <r>
          <rPr>
            <sz val="10"/>
            <rFont val="Arial"/>
            <family val="2"/>
          </rPr>
          <t xml:space="preserve">Нет полной работы</t>
        </r>
      </text>
    </comment>
    <comment ref="AH13" authorId="0">
      <text>
        <r>
          <rPr>
            <sz val="10"/>
            <rFont val="Arial"/>
            <family val="2"/>
          </rPr>
          <t xml:space="preserve">Формула чуть чуть не такая
И с Флагами ошибка</t>
        </r>
      </text>
    </comment>
    <comment ref="AH15" authorId="0">
      <text>
        <r>
          <rPr>
            <sz val="10"/>
            <rFont val="Arial"/>
            <family val="2"/>
          </rPr>
          <t xml:space="preserve">Множественные ошибки вычислений - дальше не проверял</t>
        </r>
      </text>
    </comment>
    <comment ref="AH17" authorId="0">
      <text>
        <r>
          <rPr>
            <sz val="10"/>
            <rFont val="Arial"/>
            <family val="2"/>
          </rPr>
          <t xml:space="preserve">Пустая работа</t>
        </r>
      </text>
    </comment>
    <comment ref="AH18" authorId="0">
      <text>
        <r>
          <rPr>
            <sz val="10"/>
            <rFont val="Arial"/>
            <family val="2"/>
          </rPr>
          <t xml:space="preserve">Нет полной работы
Ошибки вычислений - ответ неверный
Ошибки вычислений - ответ неверный
</t>
        </r>
      </text>
    </comment>
    <comment ref="AH19" authorId="0">
      <text>
        <r>
          <rPr>
            <sz val="10"/>
            <rFont val="Arial"/>
            <family val="2"/>
          </rPr>
          <t xml:space="preserve">Множественные ошибки вычисления - ответ неверный </t>
        </r>
      </text>
    </comment>
    <comment ref="AH20" authorId="0">
      <text>
        <r>
          <rPr>
            <sz val="10"/>
            <rFont val="Arial"/>
            <family val="2"/>
          </rPr>
          <t xml:space="preserve">Флаги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F9" authorId="0">
      <text>
        <r>
          <rPr>
            <sz val="10"/>
            <rFont val="Arial"/>
            <family val="2"/>
          </rPr>
          <t xml:space="preserve">+ отчет (2* отчет+скрипт)
--x---rw-
cp d1/f1 d2/
d1=r d2=w f1=r
+ пути
+ права
+ жес. сим. ссылки
+ создание жестк. ссылки на дир.
+ потоки
- экранировани</t>
        </r>
      </text>
    </comment>
    <comment ref="F10" authorId="0">
      <text>
        <r>
          <rPr>
            <sz val="10"/>
            <rFont val="Arial"/>
            <family val="2"/>
          </rPr>
          <t xml:space="preserve">+ отчет (3* отчет+скрипт ломался)
+ пути
+ доп зд с путями
+ права
mv d1/f1 d2/
d1=rx d2=w f1=x
</t>
        </r>
      </text>
    </comment>
    <comment ref="F15" authorId="0">
      <text>
        <r>
          <rPr>
            <sz val="10"/>
            <rFont val="Arial"/>
            <family val="2"/>
          </rPr>
          <t xml:space="preserve">+отчет (2* отчет)
- экранирование</t>
        </r>
      </text>
    </comment>
    <comment ref="G7" authorId="0">
      <text>
        <r>
          <rPr>
            <sz val="10"/>
            <rFont val="Arial"/>
            <family val="2"/>
          </rPr>
          <t xml:space="preserve">- как прочитать содержимое файла
- как посмотреть содержимое дир.
- cd - ,cd ~, cd ..</t>
        </r>
      </text>
    </comment>
    <comment ref="G9" authorId="0">
      <text>
        <r>
          <rPr>
            <sz val="10"/>
            <rFont val="Arial"/>
            <family val="2"/>
          </rPr>
          <t xml:space="preserve">+ экранировани
- фильтры</t>
        </r>
      </text>
    </comment>
    <comment ref="G10" authorId="0">
      <text>
        <r>
          <rPr>
            <sz val="10"/>
            <rFont val="Arial"/>
            <family val="2"/>
          </rPr>
          <t xml:space="preserve">+ экранирование
-+ что такое ~
+ потоки
+ &lt; &lt;&lt; | &gt;&gt; &gt;
- ссылки
- inode
- фильтры
- more</t>
        </r>
      </text>
    </comment>
    <comment ref="G11" authorId="0">
      <text>
        <r>
          <rPr>
            <sz val="10"/>
            <rFont val="Arial"/>
            <family val="2"/>
          </rPr>
          <t xml:space="preserve">- отчет, запустить скрипт из другой дир.
+ пути (cd lab | cd /home/etoxto/lab1 | cd .. | cd ~)
+- &lt; &lt;&lt; &gt;&gt; &gt; | 
- запсиать вывод скрипта с ошибками в файл</t>
        </r>
      </text>
    </comment>
    <comment ref="G12" authorId="0">
      <text>
        <r>
          <rPr>
            <sz val="10"/>
            <rFont val="Arial"/>
            <family val="2"/>
          </rPr>
          <t xml:space="preserve">+ отчет, запустить скрипт из другой дир.
+ пути (cd lab | cd /home/etoxto/lab1 | cd .. | cd ~)
+ &lt; &lt;&lt; &gt;&gt; &gt; |
+ потоки
- запсиать вывод скрипта с ошибками в файл
- права
cp d1/t1 d2/
d1 - rx
t1 - r
d2 - rw</t>
        </r>
      </text>
    </comment>
    <comment ref="G13" authorId="0">
      <text>
        <r>
          <rPr>
            <sz val="10"/>
            <rFont val="Arial"/>
            <family val="2"/>
          </rPr>
          <t xml:space="preserve">+ отчет
- пути
- права
mv d1/t1 d2/ 
d1 - w</t>
        </r>
      </text>
    </comment>
    <comment ref="G15" authorId="0">
      <text>
        <r>
          <rPr>
            <sz val="10"/>
            <rFont val="Arial"/>
            <family val="2"/>
          </rPr>
          <t xml:space="preserve">+ экранирование
+ пути
+ права
mv d1/t1 d2/
d1 - wx
t1 - 
d2 - wx
+ ссылки
+ . .. 
+ inode
+ more
+ потоки
- переменная окружения
- чем компилятор отличается от интерпретатора</t>
        </r>
      </text>
    </comment>
    <comment ref="G16" authorId="0">
      <text>
        <r>
          <rPr>
            <sz val="10"/>
            <rFont val="Arial"/>
            <family val="2"/>
          </rPr>
          <t xml:space="preserve">- отчет</t>
        </r>
      </text>
    </comment>
    <comment ref="H4" authorId="0">
      <text>
        <r>
          <rPr>
            <sz val="10"/>
            <rFont val="Arial"/>
            <family val="2"/>
          </rPr>
          <t xml:space="preserve">+ отчет
+ пути
- права
- как задать права с помощью букв(rwx)
+ где посмотреть создателя и группу файла
+ cp f1 d1/d2
+ как запустить скрипт без bash
- жестк. и символ. ссылки
- как сделать так, чтобы символическая ссылка не ломалась при переносе в другую дирректорию
- inode</t>
        </r>
      </text>
    </comment>
    <comment ref="H16" authorId="0">
      <text>
        <r>
          <rPr>
            <sz val="10"/>
            <rFont val="Arial"/>
            <family val="2"/>
          </rPr>
          <t xml:space="preserve">+ убрать find из 4 задания
+ отчет
+ пути
+ ~
+ права
+ расширенные права 
- стики бит
+ cp d1/f1 d2/d3/
- прочитать про группы прав
- запустить скрипт без bash</t>
        </r>
      </text>
    </comment>
    <comment ref="H17" authorId="0">
      <text>
        <r>
          <rPr>
            <sz val="10"/>
            <rFont val="Arial"/>
            <family val="2"/>
          </rPr>
          <t xml:space="preserve">+ отчет
+ пути
- найти способ переходов по абсолютному пути 
- (переменные окружение)
+ права
mv d1/d2/f1 d3/
- запустить скрипт без bash/sh
- ссылки
- inode
- жесткя ссылка на дир</t>
        </r>
      </text>
    </comment>
    <comment ref="H19" authorId="0">
      <text>
        <r>
          <rPr>
            <sz val="10"/>
            <rFont val="Arial"/>
            <family val="2"/>
          </rPr>
          <t xml:space="preserve">+ отчет
+ пути
+ права
mv f1 d1/d2
+ узнать где посмотреть какой владелец у файла и группа
- прочитать про man
+ потоки
- разлбраться с доп. по потокам
- сделать файл исполняемым</t>
        </r>
      </text>
    </comment>
    <comment ref="H20" authorId="0">
      <text>
        <r>
          <rPr>
            <sz val="10"/>
            <rFont val="Arial"/>
            <family val="2"/>
          </rPr>
          <t xml:space="preserve">+ очтет
+ пути
+ права
cp d1/f1 d2
d1 = Xw
f1 = rx
d2 = wx
+ жестк. символ. ссылки
- inode
как сделать так, чтобы символическая ссылка не ломалась при переносе в другую дирректорию</t>
        </r>
      </text>
    </comment>
    <comment ref="H21" authorId="0">
      <text>
        <r>
          <rPr>
            <sz val="10"/>
            <rFont val="Arial"/>
            <family val="2"/>
          </rPr>
          <t xml:space="preserve">+ отчет
-+ пути
- прочитать про команду pwd
+ права
- mv d1/d2/f1 d3/ (cp+)
+ как сделать исполняемый скрипт типа ./script, т.е. без sh
+ потоки
+ &lt; &lt;&lt; | &gt;&gt; &gt;
+ cd . cd .. cd ~ cd -
- жестк. и символ. ссылки
- inode
</t>
        </r>
      </text>
    </comment>
    <comment ref="I4" authorId="0">
      <text>
        <r>
          <rPr>
            <sz val="10"/>
            <rFont val="Arial"/>
            <family val="2"/>
          </rPr>
          <t xml:space="preserve">+ права
+ ссылки
+ inode
+ доп. на ссылки
+ экранирование
- фильтры
</t>
        </r>
      </text>
    </comment>
    <comment ref="I5" authorId="0">
      <text>
        <r>
          <rPr>
            <sz val="10"/>
            <rFont val="Arial"/>
            <family val="2"/>
          </rPr>
          <t xml:space="preserve">+ отчет
+ пути
+  cd . ; cd .. ; cd ~ ; cd - ;
- права
cp d1/f1 d2/
- сслыки
+ inode
- . ..
+ доп ссылки</t>
        </r>
      </text>
    </comment>
    <comment ref="I6" authorId="0">
      <text>
        <r>
          <rPr>
            <sz val="10"/>
            <rFont val="Arial"/>
            <family val="2"/>
          </rPr>
          <t xml:space="preserve">+ отчет
+ абс и отн пути
+ cd . ; cd .. ; cd ~ ; cd - ;
+ . ..
+ доп на пути (ln -s)
+ права
- ссылки</t>
        </r>
      </text>
    </comment>
    <comment ref="I9" authorId="0">
      <text>
        <r>
          <rPr>
            <sz val="10"/>
            <rFont val="Arial"/>
            <family val="2"/>
          </rPr>
          <t xml:space="preserve">+ фильтры (more)
- переменные окружения
</t>
        </r>
      </text>
    </comment>
    <comment ref="I10" authorId="0">
      <text>
        <r>
          <rPr>
            <sz val="10"/>
            <rFont val="Arial"/>
            <family val="2"/>
          </rPr>
          <t xml:space="preserve">+ ссылки
+ inode
+ фильтры
+ more</t>
        </r>
      </text>
    </comment>
    <comment ref="I11" authorId="0">
      <text>
        <r>
          <rPr>
            <sz val="10"/>
            <rFont val="Arial"/>
            <family val="2"/>
          </rPr>
          <t xml:space="preserve">+ запсиать вывод скрипта с ошибками в файл
+ права
+ доп по правам
+ ссылки
+ . .. 
+ экранирвоание
+ фильтры</t>
        </r>
      </text>
    </comment>
    <comment ref="I12" authorId="0">
      <text>
        <r>
          <rPr>
            <sz val="10"/>
            <rFont val="Arial"/>
            <family val="2"/>
          </rPr>
          <t xml:space="preserve">+ запсиать вывод скрипта с ошибками в файл
+ права
+ ссылки
+ inode
+ . .. 
+ экранирвоание
+ фильтры</t>
        </r>
      </text>
    </comment>
    <comment ref="I13" authorId="0">
      <text>
        <r>
          <rPr>
            <sz val="10"/>
            <rFont val="Arial"/>
            <family val="2"/>
          </rPr>
          <t xml:space="preserve">+ пути
+ права
+ потоки
+ &lt; &lt;&lt; &gt;&gt; &gt; |
+ доп на потоки
+ сделать не ломающуюся символическую ссылку
+ ссылки
+ inode
+ . ..
+ 'экранирвоание
+ фильтры</t>
        </r>
      </text>
    </comment>
    <comment ref="I14" authorId="0">
      <text>
        <r>
          <rPr>
            <sz val="10"/>
            <rFont val="Arial"/>
            <family val="2"/>
          </rPr>
          <t xml:space="preserve">+ отчет
+ пути
+ cd . ; cd .. ; cd ~ ; cd - ;
+ права
- ссылки
- ограничения на ссылки
+ inode
+ . .. 
+ потоки
+ &lt; &lt;&lt; &gt;&gt; &gt; |
- доп задание</t>
        </r>
      </text>
    </comment>
    <comment ref="I15" authorId="0">
      <text>
        <r>
          <rPr>
            <sz val="10"/>
            <rFont val="Arial"/>
            <family val="2"/>
          </rPr>
          <t xml:space="preserve">+ переменная окружения
+ чем компилятор отличается от интерпретатора
- фильтры</t>
        </r>
      </text>
    </comment>
    <comment ref="I16" authorId="0">
      <text>
        <r>
          <rPr>
            <sz val="10"/>
            <rFont val="Arial"/>
            <family val="2"/>
          </rPr>
          <t xml:space="preserve">+ прочитать про группы прав
+ запустить скрипт без bash
+ стики бит
+ ссылки
+ inode
+ . ..
+ фильтрый
+ экранирование</t>
        </r>
      </text>
    </comment>
    <comment ref="I17" authorId="0">
      <text>
        <r>
          <rPr>
            <sz val="10"/>
            <rFont val="Arial"/>
            <family val="2"/>
          </rPr>
          <t xml:space="preserve">+ запустить скрипт без bash/sh
+ ссылки
+ inode
+ жесткя ссылка на дир
+ . .. 
+ потоки
+ &lt; &lt;&lt; &gt;&gt; &gt; |
- фильтры</t>
        </r>
      </text>
    </comment>
    <comment ref="I19" authorId="0">
      <text>
        <r>
          <rPr>
            <sz val="10"/>
            <rFont val="Arial"/>
            <family val="2"/>
          </rPr>
          <t xml:space="preserve">+ more
+ прочитать про man
+ разлбраться с доп. по потокам
+ сделать файл исполняемым
+ фильтры
+ ссылки
+ inode
+ . ..
+ экранирование</t>
        </r>
      </text>
    </comment>
    <comment ref="I20" authorId="0">
      <text>
        <r>
          <rPr>
            <sz val="10"/>
            <rFont val="Arial"/>
            <family val="2"/>
          </rPr>
          <t xml:space="preserve">+ inode
 + доп ссылки
+ фильтры
+ экранирование</t>
        </r>
      </text>
    </comment>
    <comment ref="J5" authorId="0">
      <text>
        <r>
          <rPr>
            <sz val="10"/>
            <rFont val="Arial"/>
            <family val="2"/>
          </rPr>
          <t xml:space="preserve">+ права
+ сслыки
+ . ..
+ потоки 
+ &lt; &lt;&lt; &gt;&gt; &gt; |
+ экранирование
- фильтры</t>
        </r>
      </text>
    </comment>
    <comment ref="J6" authorId="0">
      <text>
        <r>
          <rPr>
            <sz val="10"/>
            <rFont val="Arial"/>
            <family val="2"/>
          </rPr>
          <t xml:space="preserve">+- ссылки
+ inode
+ . ..
+ потоки
+- &lt; &lt;&lt; &gt;&gt; &gt; |
+ экранирование
- more
- фильтры</t>
        </r>
      </text>
    </comment>
    <comment ref="J8" authorId="0">
      <text>
        <r>
          <rPr>
            <sz val="10"/>
            <rFont val="Arial"/>
            <family val="2"/>
          </rPr>
          <t xml:space="preserve">+ отчет
+ пути
- права
cp d1/f1 d2/
- ссылки
+ inode
- . ..</t>
        </r>
      </text>
    </comment>
    <comment ref="J9" authorId="0">
      <text>
        <r>
          <rPr>
            <sz val="10"/>
            <rFont val="Arial"/>
            <family val="2"/>
          </rPr>
          <t xml:space="preserve">+ трасс
+ Какие операции реализованы в АЛУ?
+ Как в БЭВМ реализована команда декремента?
- дешифратор
+ флаги
+ регистры
+ команда ST
- какой объём памяти БЭВМ</t>
        </r>
      </text>
    </comment>
    <comment ref="J11" authorId="0">
      <text>
        <r>
          <rPr>
            <sz val="10"/>
            <rFont val="Arial"/>
            <family val="2"/>
          </rPr>
          <t xml:space="preserve">+ трас.
-+ Какие операции реализованы в АЛУ?
- Как в БЭВМ реализована команда декремента?
- Приведите несколько способов декрементировать ячейку
</t>
        </r>
      </text>
    </comment>
    <comment ref="J14" authorId="0">
      <text>
        <r>
          <rPr>
            <sz val="10"/>
            <rFont val="Arial"/>
            <family val="2"/>
          </rPr>
          <t xml:space="preserve">+ ссылки
+ ограничения на ссылки
+ экранирование
+ фильтры</t>
        </r>
      </text>
    </comment>
    <comment ref="J16" authorId="0">
      <text>
        <r>
          <rPr>
            <sz val="10"/>
            <rFont val="Arial"/>
            <family val="2"/>
          </rPr>
          <t xml:space="preserve">+ трас
- Какие операции реализованы в АЛУ?
-+ реализация команды OR
+- inc и dec</t>
        </r>
      </text>
    </comment>
    <comment ref="J21" authorId="0">
      <text>
        <r>
          <rPr>
            <sz val="10"/>
            <rFont val="Arial"/>
            <family val="2"/>
          </rPr>
          <t xml:space="preserve">+ прочитать про команду pwd
+ mv d1/d2/f1 d3/
+ жестк. и символ. ссылки
+ inode
+- потоки (echo &gt; &gt;&gt;)
+ экранирование
- фильтры</t>
        </r>
      </text>
    </comment>
    <comment ref="K3" authorId="0">
      <text>
        <r>
          <rPr>
            <sz val="10"/>
            <rFont val="Arial"/>
            <family val="2"/>
          </rPr>
          <t xml:space="preserve">- отчет</t>
        </r>
      </text>
    </comment>
    <comment ref="K6" authorId="0">
      <text>
        <r>
          <rPr>
            <sz val="10"/>
            <rFont val="Arial"/>
            <family val="2"/>
          </rPr>
          <t xml:space="preserve">+ more
+ фильтры</t>
        </r>
      </text>
    </comment>
    <comment ref="K8" authorId="0">
      <text>
        <r>
          <rPr>
            <sz val="10"/>
            <rFont val="Arial"/>
            <family val="2"/>
          </rPr>
          <t xml:space="preserve">+ права
+ ссылки
+ . ..
+ потоки
+ &lt; &lt;&lt; &gt;&gt; &gt; |
- экранирование
+ фильтры</t>
        </r>
      </text>
    </comment>
    <comment ref="K10" authorId="0">
      <text>
        <r>
          <rPr>
            <sz val="10"/>
            <rFont val="Arial"/>
            <family val="2"/>
          </rPr>
          <t xml:space="preserve">+ трасс
+- Какие операции реализованы в АЛУ?
+ Как в БЭВМ реализована команда декремента, или, вычитание?
+ флаги
- дешифратор
+ команда OR</t>
        </r>
      </text>
    </comment>
    <comment ref="K11" authorId="0">
      <text>
        <r>
          <rPr>
            <sz val="10"/>
            <rFont val="Arial"/>
            <family val="2"/>
          </rPr>
          <t xml:space="preserve">+ Как в БЭВМ реализована команда декремента?
+ Приведите несколько способов декрементировать ячейку
+ почему inc быстрее add 1
+ команда ST</t>
        </r>
      </text>
    </comment>
    <comment ref="K12" authorId="0">
      <text>
        <r>
          <rPr>
            <sz val="10"/>
            <rFont val="Arial"/>
            <family val="2"/>
          </rPr>
          <t xml:space="preserve">+ одз
+ трасс
-+ Какие операции реализованы в АЛУ?
+ Как в БЭВМ реализована команда декремента, или, вычитание?
+ флаги
+ дешифратор
- команда OR</t>
        </r>
      </text>
    </comment>
    <comment ref="K13" authorId="0">
      <text>
        <r>
          <rPr>
            <sz val="10"/>
            <rFont val="Arial"/>
            <family val="2"/>
          </rPr>
          <t xml:space="preserve">+ трасс
- Какие операции реализованы в АЛУ?
- флаги
- регистры</t>
        </r>
      </text>
    </comment>
    <comment ref="K15" authorId="0">
      <text>
        <r>
          <rPr>
            <sz val="10"/>
            <rFont val="Arial"/>
            <family val="2"/>
          </rPr>
          <t xml:space="preserve">+ Какие операции реализованы в АЛУ?
+ Как в БЭВМ реализована команда декремента, или, вычитание?
+ флаги
+ дешифратор
+ память в бвм
- команда LD</t>
        </r>
      </text>
    </comment>
    <comment ref="K16" authorId="0">
      <text>
        <r>
          <rPr>
            <sz val="10"/>
            <rFont val="Arial"/>
            <family val="2"/>
          </rPr>
          <t xml:space="preserve">+ Какие операции реализованы в АЛУ?
+ реализация команды OR
+ dec, sub
+ флаги
+ регистры
+ команда OR</t>
        </r>
      </text>
    </comment>
    <comment ref="K17" authorId="0">
      <text>
        <r>
          <rPr>
            <sz val="10"/>
            <rFont val="Arial"/>
            <family val="2"/>
          </rPr>
          <t xml:space="preserve">+ Какие операции реализованы в АЛУ?
- реализация команды OR
+ dec, sub
+ флаги
+ регистры
+ команда ADD</t>
        </r>
      </text>
    </comment>
    <comment ref="K19" authorId="0">
      <text>
        <r>
          <rPr>
            <sz val="10"/>
            <rFont val="Arial"/>
            <family val="2"/>
          </rPr>
          <t xml:space="preserve">+ трасс
-+ Какие операции реализованы в АЛУ?
+ Как в БЭВМ реализована команда декремента, или, вычитание?
-+ флаги
-+ дешифратор
- команда AND
</t>
        </r>
      </text>
    </comment>
    <comment ref="L4" authorId="0">
      <text>
        <r>
          <rPr>
            <sz val="10"/>
            <rFont val="Arial"/>
            <family val="2"/>
          </rPr>
          <t xml:space="preserve">+ операции в АЛУ
+ коммутатор
+ флаги (по какой логике выставляются)
+ дешифратор
+ OR
- ST</t>
        </r>
      </text>
    </comment>
    <comment ref="L6" authorId="0">
      <text>
        <r>
          <rPr>
            <sz val="10"/>
            <rFont val="Arial"/>
            <family val="2"/>
          </rPr>
          <t xml:space="preserve">- поправить одз</t>
        </r>
      </text>
    </comment>
    <comment ref="L7" authorId="0">
      <text>
        <r>
          <rPr>
            <sz val="10"/>
            <rFont val="Arial"/>
            <family val="2"/>
          </rPr>
          <t xml:space="preserve">+ как посмотреть содержимое файла
+ как посмотреть содержимое дир.
+ cd - ,cd ~, cd ..
+ пути
+ pwd
- права
+задать права на файл (u=rwx,g=r,o=w)
+cp d1/f1 d2/
d1=rx
d2=w
f1=r
- потоки
-+ &lt; &lt;&lt; &gt;&gt; &gt; |
- ссылки
- / </t>
        </r>
      </text>
    </comment>
    <comment ref="L20" authorId="0">
      <text>
        <r>
          <rPr>
            <sz val="10"/>
            <rFont val="Arial"/>
            <family val="2"/>
          </rPr>
          <t xml:space="preserve">- операции в АЛУ
+- дешифратор
- коммутатор</t>
        </r>
      </text>
    </comment>
    <comment ref="M6" authorId="0">
      <text>
        <r>
          <rPr>
            <sz val="10"/>
            <rFont val="Arial"/>
            <family val="2"/>
          </rPr>
          <t xml:space="preserve">X=2^11
B=2^12
C=2^13
</t>
        </r>
      </text>
    </comment>
    <comment ref="M8" authorId="0">
      <text>
        <r>
          <rPr>
            <sz val="10"/>
            <rFont val="Arial"/>
            <family val="2"/>
          </rPr>
          <t xml:space="preserve">- реализация вычитания, ИЛИ
- потактово команда</t>
        </r>
      </text>
    </comment>
    <comment ref="S4" authorId="0">
      <text>
        <r>
          <rPr>
            <sz val="10"/>
            <rFont val="Arial"/>
            <family val="2"/>
          </rPr>
          <t xml:space="preserve">16(19)</t>
        </r>
      </text>
    </comment>
    <comment ref="S8" authorId="0">
      <text>
        <r>
          <rPr>
            <sz val="10"/>
            <rFont val="Arial"/>
            <family val="2"/>
          </rPr>
          <t xml:space="preserve">на 18</t>
        </r>
      </text>
    </comment>
    <comment ref="S9" authorId="0">
      <text>
        <r>
          <rPr>
            <sz val="10"/>
            <rFont val="Arial"/>
            <family val="2"/>
          </rPr>
          <t xml:space="preserve">доп на 20</t>
        </r>
      </text>
    </comment>
    <comment ref="S10" authorId="0">
      <text>
        <r>
          <rPr>
            <sz val="10"/>
            <rFont val="Arial"/>
            <family val="2"/>
          </rPr>
          <t xml:space="preserve">доп на 16</t>
        </r>
      </text>
    </comment>
    <comment ref="S12" authorId="0">
      <text>
        <r>
          <rPr>
            <sz val="10"/>
            <rFont val="Arial"/>
            <family val="2"/>
          </rPr>
          <t xml:space="preserve">17(20)</t>
        </r>
      </text>
    </comment>
    <comment ref="S15" authorId="0">
      <text>
        <r>
          <rPr>
            <sz val="10"/>
            <rFont val="Arial"/>
            <family val="2"/>
          </rPr>
          <t xml:space="preserve">доп задание на 20</t>
        </r>
      </text>
    </comment>
    <comment ref="S16" authorId="0">
      <text>
        <r>
          <rPr>
            <sz val="10"/>
            <rFont val="Arial"/>
            <family val="2"/>
          </rPr>
          <t xml:space="preserve">18(20)</t>
        </r>
      </text>
    </comment>
    <comment ref="S19" authorId="0">
      <text>
        <r>
          <rPr>
            <sz val="10"/>
            <rFont val="Arial"/>
            <family val="2"/>
          </rPr>
          <t xml:space="preserve">доп задание на 19</t>
        </r>
      </text>
    </comment>
    <comment ref="S20" authorId="0">
      <text>
        <r>
          <rPr>
            <sz val="10"/>
            <rFont val="Arial"/>
            <family val="2"/>
          </rPr>
          <t xml:space="preserve">17
</t>
        </r>
      </text>
    </comment>
    <comment ref="U4" authorId="0">
      <text>
        <r>
          <rPr>
            <sz val="10"/>
            <rFont val="Arial"/>
            <family val="2"/>
          </rPr>
          <t xml:space="preserve">Z = 2^14
X 2^13 +1
Y = 2^12 + 5
</t>
        </r>
      </text>
    </comment>
    <comment ref="U5" authorId="0">
      <text>
        <r>
          <rPr>
            <sz val="10"/>
            <rFont val="Arial"/>
            <family val="2"/>
          </rPr>
          <t xml:space="preserve">A = 2^11 - 1
B = 2^10 - 3
D = 2^5 +7</t>
        </r>
      </text>
    </comment>
    <comment ref="U9" authorId="0">
      <text>
        <r>
          <rPr>
            <sz val="10"/>
            <rFont val="Arial"/>
            <family val="2"/>
          </rPr>
          <t xml:space="preserve">A = -2^14 -7
C = -2^14 17
D = 2^8 + 8</t>
        </r>
      </text>
    </comment>
    <comment ref="U10" authorId="0">
      <text>
        <r>
          <rPr>
            <sz val="10"/>
            <rFont val="Arial"/>
            <family val="2"/>
          </rPr>
          <t xml:space="preserve">A = 1101 0001 1000 1111
B =  0111 1110 0101 1010
C = 2^12 + 6
</t>
        </r>
      </text>
    </comment>
    <comment ref="U11" authorId="0">
      <text>
        <r>
          <rPr>
            <sz val="10"/>
            <rFont val="Arial"/>
            <family val="2"/>
          </rPr>
          <t xml:space="preserve">A = -2^8 + 8
B = 2^12 + 1
D = -2^4 + 5</t>
        </r>
      </text>
    </comment>
    <comment ref="U12" authorId="0">
      <text>
        <r>
          <rPr>
            <sz val="10"/>
            <rFont val="Arial"/>
            <family val="2"/>
          </rPr>
          <t xml:space="preserve">A = 2^15 + 4
B = 2^15 + 2^8
C = 2^14 + 2^0</t>
        </r>
      </text>
    </comment>
    <comment ref="U13" authorId="0">
      <text>
        <r>
          <rPr>
            <sz val="10"/>
            <rFont val="Arial"/>
            <family val="2"/>
          </rPr>
          <t xml:space="preserve">A = 2^10 + 7 
C = -2^13 + 3
D = 5</t>
        </r>
      </text>
    </comment>
    <comment ref="U14" authorId="0">
      <text>
        <r>
          <rPr>
            <sz val="10"/>
            <rFont val="Arial"/>
            <family val="2"/>
          </rPr>
          <t xml:space="preserve">A = 2^11
B = -2^11
C = 2^13 + 13
</t>
        </r>
      </text>
    </comment>
    <comment ref="U15" authorId="0">
      <text>
        <r>
          <rPr>
            <sz val="10"/>
            <rFont val="Arial"/>
            <family val="2"/>
          </rPr>
          <t xml:space="preserve">A = 1000
C = -2001
D = 2^13 -17</t>
        </r>
      </text>
    </comment>
    <comment ref="U16" authorId="0">
      <text>
        <r>
          <rPr>
            <sz val="10"/>
            <rFont val="Arial"/>
            <family val="2"/>
          </rPr>
          <t xml:space="preserve">A = 2^13-1
B = 2^11 + 5
C = 2^14 + 5</t>
        </r>
      </text>
    </comment>
    <comment ref="U17" authorId="0">
      <text>
        <r>
          <rPr>
            <sz val="10"/>
            <rFont val="Arial"/>
            <family val="2"/>
          </rPr>
          <t xml:space="preserve">A = -2^9 + 1
B = -2^7 - 9
D = 0</t>
        </r>
      </text>
    </comment>
    <comment ref="U19" authorId="0">
      <text>
        <r>
          <rPr>
            <sz val="10"/>
            <rFont val="Arial"/>
            <family val="2"/>
          </rPr>
          <t xml:space="preserve">X = 2^8 - 20
Y = 2^12 +5
Z = 2^13 + 206</t>
        </r>
      </text>
    </comment>
    <comment ref="U20" authorId="0">
      <text>
        <r>
          <rPr>
            <sz val="10"/>
            <rFont val="Arial"/>
            <family val="2"/>
          </rPr>
          <t xml:space="preserve">Z = -2^13+1
X = 2^11
Y = 84
</t>
        </r>
      </text>
    </comment>
    <comment ref="U21" authorId="0">
      <text>
        <r>
          <rPr>
            <sz val="10"/>
            <rFont val="Arial"/>
            <family val="2"/>
          </rPr>
          <t xml:space="preserve">D = 2^14
E = 2^2^15 -3
C = -2^10 +6</t>
        </r>
      </text>
    </comment>
  </commentList>
</comments>
</file>

<file path=xl/sharedStrings.xml><?xml version="1.0" encoding="utf-8"?>
<sst xmlns="http://schemas.openxmlformats.org/spreadsheetml/2006/main" count="6574" uniqueCount="597">
  <si>
    <t xml:space="preserve">Преподаватель: </t>
  </si>
  <si>
    <t xml:space="preserve">groupName</t>
  </si>
  <si>
    <t xml:space="preserve">Посещаемость л/р</t>
  </si>
  <si>
    <t xml:space="preserve">ЛР1</t>
  </si>
  <si>
    <t xml:space="preserve">ЛР2</t>
  </si>
  <si>
    <t xml:space="preserve">МК1</t>
  </si>
  <si>
    <t xml:space="preserve">МК2</t>
  </si>
  <si>
    <t xml:space="preserve">Рубеж 1</t>
  </si>
  <si>
    <t xml:space="preserve">Рубеж 2</t>
  </si>
  <si>
    <t xml:space="preserve">Итог
балл</t>
  </si>
  <si>
    <t xml:space="preserve">Допуск</t>
  </si>
  <si>
    <t xml:space="preserve">ЛК</t>
  </si>
  <si>
    <t xml:space="preserve">Зачет</t>
  </si>
  <si>
    <t xml:space="preserve">Итого</t>
  </si>
  <si>
    <t xml:space="preserve">ФИО</t>
  </si>
  <si>
    <t xml:space="preserve">Группа</t>
  </si>
  <si>
    <t xml:space="preserve">ISU-ID</t>
  </si>
  <si>
    <t xml:space="preserve">Вар</t>
  </si>
  <si>
    <t xml:space="preserve">Дата
защ.</t>
  </si>
  <si>
    <t xml:space="preserve">Б</t>
  </si>
  <si>
    <t xml:space="preserve">Дата
доп.</t>
  </si>
  <si>
    <t xml:space="preserve">Дата
вып.</t>
  </si>
  <si>
    <t xml:space="preserve">Дата</t>
  </si>
  <si>
    <t xml:space="preserve">балл</t>
  </si>
  <si>
    <t xml:space="preserve">Баллы</t>
  </si>
  <si>
    <t xml:space="preserve">Оценка</t>
  </si>
  <si>
    <t xml:space="preserve">Студентов работало</t>
  </si>
  <si>
    <t xml:space="preserve">Баллы: мин</t>
  </si>
  <si>
    <t xml:space="preserve">Студентов пристуствовало</t>
  </si>
  <si>
    <t xml:space="preserve">Баллы: макс</t>
  </si>
  <si>
    <t xml:space="preserve">Легенда:</t>
  </si>
  <si>
    <t xml:space="preserve">Сдало:</t>
  </si>
  <si>
    <t xml:space="preserve">Y - был (на перекличке)</t>
  </si>
  <si>
    <t xml:space="preserve">N - отсутствовал</t>
  </si>
  <si>
    <t xml:space="preserve"> </t>
  </si>
  <si>
    <t xml:space="preserve">* - подошел к преподавателю</t>
  </si>
  <si>
    <t xml:space="preserve">Количество * == количество подходов</t>
  </si>
  <si>
    <t xml:space="preserve">№</t>
  </si>
  <si>
    <t xml:space="preserve">Преподаватель: Абузов Я. А.</t>
  </si>
  <si>
    <t xml:space="preserve">ЛР3</t>
  </si>
  <si>
    <t xml:space="preserve">ЛР4</t>
  </si>
  <si>
    <t xml:space="preserve">ЛР5</t>
  </si>
  <si>
    <t xml:space="preserve">Рубеж </t>
  </si>
  <si>
    <t xml:space="preserve">Diff</t>
  </si>
  <si>
    <t xml:space="preserve">Волкова Александра Геннадьевна</t>
  </si>
  <si>
    <t xml:space="preserve">Y</t>
  </si>
  <si>
    <t xml:space="preserve">Вильданов Ильнур Наилевич</t>
  </si>
  <si>
    <t xml:space="preserve">Парамонов Владислав Романович</t>
  </si>
  <si>
    <t xml:space="preserve">Верхозин Егор Андреевич</t>
  </si>
  <si>
    <t xml:space="preserve">Исупов Никита Александрович</t>
  </si>
  <si>
    <t xml:space="preserve">Шурова Анастасия Вячеславовна</t>
  </si>
  <si>
    <t xml:space="preserve">Еськов Валерий Николаевич</t>
  </si>
  <si>
    <t xml:space="preserve">Соров Айаал</t>
  </si>
  <si>
    <t xml:space="preserve">Кулакли Иван </t>
  </si>
  <si>
    <t xml:space="preserve">Антипин Григорий</t>
  </si>
  <si>
    <t xml:space="preserve">Слепцов Кирилл Андреевич</t>
  </si>
  <si>
    <t xml:space="preserve">Румский Александр Максимович</t>
  </si>
  <si>
    <t xml:space="preserve">Бондарев Алексей Михайлович</t>
  </si>
  <si>
    <t xml:space="preserve">Пасечник Иван Андреевич</t>
  </si>
  <si>
    <t xml:space="preserve">Плешивцев Кирилл Михайлович</t>
  </si>
  <si>
    <t xml:space="preserve">Гладин Александр Иванович</t>
  </si>
  <si>
    <t xml:space="preserve">Барашко Арсений Александрович</t>
  </si>
  <si>
    <t xml:space="preserve">№ п/п</t>
  </si>
  <si>
    <t xml:space="preserve">№ таб.</t>
  </si>
  <si>
    <t xml:space="preserve">Ф.И.О.</t>
  </si>
  <si>
    <t xml:space="preserve">Группа по ИСУ</t>
  </si>
  <si>
    <t xml:space="preserve">Группа фактическая</t>
  </si>
  <si>
    <t xml:space="preserve">Check</t>
  </si>
  <si>
    <t xml:space="preserve">Offset</t>
  </si>
  <si>
    <t xml:space="preserve">Столбец ЛР1</t>
  </si>
  <si>
    <t xml:space="preserve">Столбец ЛР2</t>
  </si>
  <si>
    <t xml:space="preserve">Столбец МК1</t>
  </si>
  <si>
    <t xml:space="preserve">Столбец МК2</t>
  </si>
  <si>
    <t xml:space="preserve">Столбец РК</t>
  </si>
  <si>
    <t xml:space="preserve">Столбец ЛК</t>
  </si>
  <si>
    <t xml:space="preserve">Столбец Зачёт</t>
  </si>
  <si>
    <t xml:space="preserve">Столбец Итого</t>
  </si>
  <si>
    <t xml:space="preserve">Последний столбец</t>
  </si>
  <si>
    <t xml:space="preserve">РК</t>
  </si>
  <si>
    <t xml:space="preserve">Зачёт</t>
  </si>
  <si>
    <t xml:space="preserve">Абдуллаева София Улугбековна</t>
  </si>
  <si>
    <t xml:space="preserve">P3108</t>
  </si>
  <si>
    <t xml:space="preserve">Абдуллоев Мехрубон Фарходович</t>
  </si>
  <si>
    <t xml:space="preserve">P3109</t>
  </si>
  <si>
    <t xml:space="preserve">Абодерин Абдуллах Аболаде</t>
  </si>
  <si>
    <t xml:space="preserve">P3132</t>
  </si>
  <si>
    <t xml:space="preserve">Абрамов Арсений Ярославович</t>
  </si>
  <si>
    <t xml:space="preserve">P3130</t>
  </si>
  <si>
    <t xml:space="preserve">Абрамов Егор Денисович</t>
  </si>
  <si>
    <t xml:space="preserve">P3119</t>
  </si>
  <si>
    <t xml:space="preserve">Абрамова Анастасия Сергеевна</t>
  </si>
  <si>
    <t xml:space="preserve">P3111</t>
  </si>
  <si>
    <t xml:space="preserve">Авдеев Владислав Александрович</t>
  </si>
  <si>
    <t xml:space="preserve">P3114</t>
  </si>
  <si>
    <t xml:space="preserve">Авенданьо Дуран Карлос Мануэль</t>
  </si>
  <si>
    <t xml:space="preserve">P3106</t>
  </si>
  <si>
    <t xml:space="preserve">Агаларова Айсел Нубарековна</t>
  </si>
  <si>
    <t xml:space="preserve">Алвари Юсеф</t>
  </si>
  <si>
    <t xml:space="preserve">Александрова Милана Сергеевна</t>
  </si>
  <si>
    <t xml:space="preserve">Алтанхуяг Нямсурэн</t>
  </si>
  <si>
    <t xml:space="preserve">P3112</t>
  </si>
  <si>
    <t xml:space="preserve">Алтухов Владимир Александрович</t>
  </si>
  <si>
    <t xml:space="preserve">P3110</t>
  </si>
  <si>
    <t xml:space="preserve">Альшухайед Рами</t>
  </si>
  <si>
    <t xml:space="preserve">Антонова Анна Игоревна</t>
  </si>
  <si>
    <t xml:space="preserve">Ануфриев Андрей Сергеевич</t>
  </si>
  <si>
    <t xml:space="preserve">Арцер Александр Александрович</t>
  </si>
  <si>
    <t xml:space="preserve">Ахроров Кароматуллохон Фирдавсович</t>
  </si>
  <si>
    <t xml:space="preserve">Ашралиева Дана Руслановна</t>
  </si>
  <si>
    <t xml:space="preserve">Байбурина Карина Ильшатовна</t>
  </si>
  <si>
    <t xml:space="preserve">Бармичев Григорий Андреевич</t>
  </si>
  <si>
    <t xml:space="preserve">Бегун Фёдор Аркадьевич</t>
  </si>
  <si>
    <t xml:space="preserve">Белов Вадим Алексеевич</t>
  </si>
  <si>
    <t xml:space="preserve">Белхушет Мохаммед Сирадж</t>
  </si>
  <si>
    <t xml:space="preserve">Бен Шамех Абделазиз</t>
  </si>
  <si>
    <t xml:space="preserve">Бердышев Григорий Александрович</t>
  </si>
  <si>
    <t xml:space="preserve">Бибиков Владислав Олегович</t>
  </si>
  <si>
    <t xml:space="preserve">P3116</t>
  </si>
  <si>
    <t xml:space="preserve">Бирюков Ян Владиславович</t>
  </si>
  <si>
    <t xml:space="preserve">P3121</t>
  </si>
  <si>
    <t xml:space="preserve">Бобровский Ярослав Андреевич</t>
  </si>
  <si>
    <t xml:space="preserve">P3120</t>
  </si>
  <si>
    <t xml:space="preserve">Боглаев Яромир Владимирович</t>
  </si>
  <si>
    <t xml:space="preserve">Бойко Георгий Александрович</t>
  </si>
  <si>
    <t xml:space="preserve">Бондаренко Андрей Владимирович</t>
  </si>
  <si>
    <t xml:space="preserve">P3115</t>
  </si>
  <si>
    <t xml:space="preserve">Бондаренко Денис Игоревич</t>
  </si>
  <si>
    <t xml:space="preserve">P3131</t>
  </si>
  <si>
    <t xml:space="preserve">Бражкин Егор Юрьевич</t>
  </si>
  <si>
    <t xml:space="preserve">Букреев Степан Сергеевич</t>
  </si>
  <si>
    <t xml:space="preserve">P3117</t>
  </si>
  <si>
    <t xml:space="preserve">Булюсин Илья Олегович</t>
  </si>
  <si>
    <t xml:space="preserve">Бушков Борис Кириллович</t>
  </si>
  <si>
    <t xml:space="preserve">Бущик Иван Николаевич</t>
  </si>
  <si>
    <t xml:space="preserve">Быков Тимур Антонович</t>
  </si>
  <si>
    <t xml:space="preserve">Валиев Руслан Новруз Оглы</t>
  </si>
  <si>
    <t xml:space="preserve">Васильев Александр Георгиевич</t>
  </si>
  <si>
    <t xml:space="preserve">Ведерникова Анна Васильевна</t>
  </si>
  <si>
    <t xml:space="preserve">Ведехин Александр Вадимович</t>
  </si>
  <si>
    <t xml:space="preserve">P3118</t>
  </si>
  <si>
    <t xml:space="preserve">Вернер Кристина Витальевна</t>
  </si>
  <si>
    <t xml:space="preserve">Виджая Раден Гален Братасена</t>
  </si>
  <si>
    <t xml:space="preserve">Вольнова Анна Александровна</t>
  </si>
  <si>
    <t xml:space="preserve">Воробьев Юрий Константинович</t>
  </si>
  <si>
    <t xml:space="preserve">Вохрамеев Глеб Дмитриевич</t>
  </si>
  <si>
    <t xml:space="preserve">Гаврилюк Максим Юрьевич</t>
  </si>
  <si>
    <t xml:space="preserve">P3113</t>
  </si>
  <si>
    <t xml:space="preserve">Газиев Магомедсалам Мухтарович</t>
  </si>
  <si>
    <t xml:space="preserve">Газизуллин Ринат Ришатович</t>
  </si>
  <si>
    <t xml:space="preserve">Галак Екатерина Анатольевна</t>
  </si>
  <si>
    <t xml:space="preserve">Герасимова Алина Юрьевна</t>
  </si>
  <si>
    <t xml:space="preserve">P3122</t>
  </si>
  <si>
    <t xml:space="preserve">Гетман Юлия Сергеевна</t>
  </si>
  <si>
    <t xml:space="preserve">Гладкий Алексей Витальевич</t>
  </si>
  <si>
    <t xml:space="preserve">Гладышев Иван Станиславович</t>
  </si>
  <si>
    <t xml:space="preserve">Глушков Матвей Вениаминович</t>
  </si>
  <si>
    <t xml:space="preserve">Гнездилов Дмитрий Вадимович</t>
  </si>
  <si>
    <t xml:space="preserve">P3123</t>
  </si>
  <si>
    <t xml:space="preserve">Гойхман Елена Яковлевна</t>
  </si>
  <si>
    <t xml:space="preserve">Головач Владимир Сергеевич</t>
  </si>
  <si>
    <t xml:space="preserve">Гончаров Максим Дмитриевич</t>
  </si>
  <si>
    <t xml:space="preserve">Горелова Ульяна Андреевна</t>
  </si>
  <si>
    <t xml:space="preserve">Горин Семён Дмитриевич</t>
  </si>
  <si>
    <t xml:space="preserve">Горшелев Кирилл Валерьевич</t>
  </si>
  <si>
    <t xml:space="preserve">Горшенин Владислав Дмитриевич</t>
  </si>
  <si>
    <t xml:space="preserve">Гребенюк Леонид Сергеевич</t>
  </si>
  <si>
    <t xml:space="preserve">Григорьев Даниил Александрович</t>
  </si>
  <si>
    <t xml:space="preserve">Гришин Артем Евгеньевич</t>
  </si>
  <si>
    <t xml:space="preserve">Гузалов Тимур Павлович</t>
  </si>
  <si>
    <t xml:space="preserve">Гулахмадзода Имрон Бехруз</t>
  </si>
  <si>
    <t xml:space="preserve">Давиденко Кирилл Павлович</t>
  </si>
  <si>
    <t xml:space="preserve">Дараб Задех Захра</t>
  </si>
  <si>
    <t xml:space="preserve">Девятых Павел Леонидович</t>
  </si>
  <si>
    <t xml:space="preserve">Дедюкиева Иляна Валерьевна</t>
  </si>
  <si>
    <t xml:space="preserve">Демакова Ксения Александровна</t>
  </si>
  <si>
    <t xml:space="preserve">Деревянко Владимир Владимирович</t>
  </si>
  <si>
    <t xml:space="preserve">Дереновский Илья Андреевич</t>
  </si>
  <si>
    <t xml:space="preserve">Джантуре Назерке</t>
  </si>
  <si>
    <t xml:space="preserve">Джунь Александра Васильевна</t>
  </si>
  <si>
    <t xml:space="preserve">Димо Джофани Патрис Юпио</t>
  </si>
  <si>
    <t xml:space="preserve">Динь Хюи Хоанг</t>
  </si>
  <si>
    <t xml:space="preserve">Дмитриенко Давид</t>
  </si>
  <si>
    <t xml:space="preserve">Добрышкин Владимир Александрович</t>
  </si>
  <si>
    <t xml:space="preserve">P3107</t>
  </si>
  <si>
    <t xml:space="preserve">Дорош Даниил Денисович</t>
  </si>
  <si>
    <t xml:space="preserve">Дранкевич Алиса Игоревна</t>
  </si>
  <si>
    <t xml:space="preserve">Дубовец Дмитрий Александрович</t>
  </si>
  <si>
    <t xml:space="preserve">Дядев Владислав Александрович</t>
  </si>
  <si>
    <t xml:space="preserve">Евграфов Артём Андреевич</t>
  </si>
  <si>
    <t xml:space="preserve">Ежелева Дарья Витальевна</t>
  </si>
  <si>
    <t xml:space="preserve">Елисеев Валерий Павлович</t>
  </si>
  <si>
    <t xml:space="preserve">Еремин Денис Андреевич</t>
  </si>
  <si>
    <t xml:space="preserve">Ерохин Егор Геннадьевич</t>
  </si>
  <si>
    <t xml:space="preserve">Ершов Дмитрий Александрович</t>
  </si>
  <si>
    <t xml:space="preserve">Жамбусинов Марк Ильясович</t>
  </si>
  <si>
    <t xml:space="preserve">Жданович Владимир Андреевич</t>
  </si>
  <si>
    <t xml:space="preserve">Жеребцов Михаил Александрович</t>
  </si>
  <si>
    <t xml:space="preserve">Жукова Мария Владимировна</t>
  </si>
  <si>
    <t xml:space="preserve">Журавлев Ярослав Денисович</t>
  </si>
  <si>
    <t xml:space="preserve">Заголович Александр Андреевич</t>
  </si>
  <si>
    <t xml:space="preserve">Зайцев Евгений Алексеевич</t>
  </si>
  <si>
    <t xml:space="preserve">Западовников Алексей Викторович</t>
  </si>
  <si>
    <t xml:space="preserve">Захарченко Андрей Сергеевич</t>
  </si>
  <si>
    <t xml:space="preserve">Зенченков Павел Геннадьевич</t>
  </si>
  <si>
    <t xml:space="preserve">Зотов Ярослав Сергеевич</t>
  </si>
  <si>
    <t xml:space="preserve">Зубулина Юлия Максимовна</t>
  </si>
  <si>
    <t xml:space="preserve">Зыков Андрей Алексеевич</t>
  </si>
  <si>
    <t xml:space="preserve">Идрис Шуаибу</t>
  </si>
  <si>
    <t xml:space="preserve">Ильичев Александр Игоревич</t>
  </si>
  <si>
    <t xml:space="preserve">Ипантьев Иван</t>
  </si>
  <si>
    <t xml:space="preserve">Исаева Ирина Антоновна</t>
  </si>
  <si>
    <t xml:space="preserve">Ислам Мд Асифул</t>
  </si>
  <si>
    <t xml:space="preserve">Ислам Минхаджул</t>
  </si>
  <si>
    <t xml:space="preserve">Кабиров Данияр Умарович</t>
  </si>
  <si>
    <t xml:space="preserve">Казакова Елена Денисовна</t>
  </si>
  <si>
    <t xml:space="preserve">Казорин Даниил Дмитриевич</t>
  </si>
  <si>
    <t xml:space="preserve">Кайгородова Александра Андреевна</t>
  </si>
  <si>
    <t xml:space="preserve">Калакин Ярослав Евгеньевич</t>
  </si>
  <si>
    <t xml:space="preserve">Калинин Дмитрий Викторович</t>
  </si>
  <si>
    <t xml:space="preserve">Кантунья Саласар Жан Карло</t>
  </si>
  <si>
    <t xml:space="preserve">Караганов Павел Эдуардович</t>
  </si>
  <si>
    <t xml:space="preserve">Карасев Александр Дмитриевич</t>
  </si>
  <si>
    <t xml:space="preserve">Карнажицкий Максим Романович</t>
  </si>
  <si>
    <t xml:space="preserve">Картомышев Антон Романович</t>
  </si>
  <si>
    <t xml:space="preserve">Картошкин Степан Романович</t>
  </si>
  <si>
    <t xml:space="preserve">Касимов Аскар Маратович</t>
  </si>
  <si>
    <t xml:space="preserve">Керимов Артём Тимурович</t>
  </si>
  <si>
    <t xml:space="preserve">Клевцов Александр Сергеевич</t>
  </si>
  <si>
    <t xml:space="preserve">Клеева Ульяна Сергеевна</t>
  </si>
  <si>
    <t xml:space="preserve">Клименко Марк</t>
  </si>
  <si>
    <t xml:space="preserve">Ковалев Александр Юрьевич</t>
  </si>
  <si>
    <t xml:space="preserve">Ковалев Руслан Бабекович</t>
  </si>
  <si>
    <t xml:space="preserve">Ковыршин Александр Сергеевич</t>
  </si>
  <si>
    <t xml:space="preserve">Козаченко Данил Александрович</t>
  </si>
  <si>
    <t xml:space="preserve">Козицкая Полина Николаевна</t>
  </si>
  <si>
    <t xml:space="preserve">Козлова Ульяна Сергеевна</t>
  </si>
  <si>
    <t xml:space="preserve">Корепанов Олег Сергеевич</t>
  </si>
  <si>
    <t xml:space="preserve">Корепина Ксения Ильинична</t>
  </si>
  <si>
    <t xml:space="preserve">Корнеев Глеб Евгеньевич</t>
  </si>
  <si>
    <t xml:space="preserve">Корнеев Григорий Сергеевич</t>
  </si>
  <si>
    <t xml:space="preserve">Коробов Алексей Сергеевич</t>
  </si>
  <si>
    <t xml:space="preserve">Корхонен Артём Андреевич</t>
  </si>
  <si>
    <t xml:space="preserve">Коршун Артём Сергеевич</t>
  </si>
  <si>
    <t xml:space="preserve">Косов Артём Андреевич</t>
  </si>
  <si>
    <t xml:space="preserve">Косогова Мария Александровна</t>
  </si>
  <si>
    <t xml:space="preserve">Котиков Вадим Сергеевич</t>
  </si>
  <si>
    <t xml:space="preserve">Кравцов Дмитрий Евгеньевич</t>
  </si>
  <si>
    <t xml:space="preserve">Крамбалев Сергей Дмитриевич</t>
  </si>
  <si>
    <t xml:space="preserve">Краснов Алексей Сергеевич</t>
  </si>
  <si>
    <t xml:space="preserve">Красногорский Тимофей Алексеевич</t>
  </si>
  <si>
    <t xml:space="preserve">Круль Михаил Валерьевич</t>
  </si>
  <si>
    <t xml:space="preserve">Крупкина Варвара Александровна</t>
  </si>
  <si>
    <t xml:space="preserve">Крутьев Дмитрий Эдуардович</t>
  </si>
  <si>
    <t xml:space="preserve">Крылова Мария Дмитриевна</t>
  </si>
  <si>
    <t xml:space="preserve">Крымин Дмитрий Алексеевич</t>
  </si>
  <si>
    <t xml:space="preserve">Кудрявцев Матвей Иванович</t>
  </si>
  <si>
    <t xml:space="preserve">Кудрявцева Руслана Сергеевна</t>
  </si>
  <si>
    <t xml:space="preserve">Кудряшова Татьяна Юрьевна</t>
  </si>
  <si>
    <t xml:space="preserve">Кузнецов Андрей Александрович</t>
  </si>
  <si>
    <t xml:space="preserve">Кузнецов Андрей Романович</t>
  </si>
  <si>
    <t xml:space="preserve">Кузнецов Матвей Сергеевич</t>
  </si>
  <si>
    <t xml:space="preserve">Кузубов Константин Александрович</t>
  </si>
  <si>
    <t xml:space="preserve">Кузьмин Дмитрий Анатольевич</t>
  </si>
  <si>
    <t xml:space="preserve">Курагина Анастасия Романовна</t>
  </si>
  <si>
    <t xml:space="preserve">Кутовой Вячеслав Андреевич</t>
  </si>
  <si>
    <t xml:space="preserve">Кутузова Софья Руслановна</t>
  </si>
  <si>
    <t xml:space="preserve">Лабин Макар Андреевич</t>
  </si>
  <si>
    <t xml:space="preserve">Ларби Энох Асанте</t>
  </si>
  <si>
    <t xml:space="preserve">Ларионов Владислав Васильевич</t>
  </si>
  <si>
    <t xml:space="preserve">Ларютин Иван Николаевич</t>
  </si>
  <si>
    <t xml:space="preserve">Лебедев Александр Алексеевич</t>
  </si>
  <si>
    <t xml:space="preserve">Лебедев Алексей Алексеевич</t>
  </si>
  <si>
    <t xml:space="preserve">Лебедев Артём Евгеньевич</t>
  </si>
  <si>
    <t xml:space="preserve">Левин Эдуард</t>
  </si>
  <si>
    <t xml:space="preserve">Легостаев Даниил Игоревич</t>
  </si>
  <si>
    <t xml:space="preserve">Лежебоков Владислав Максимович</t>
  </si>
  <si>
    <t xml:space="preserve">Лежнев Никита Сергеевич</t>
  </si>
  <si>
    <t xml:space="preserve">Лейковский Никита Вячеславович</t>
  </si>
  <si>
    <t xml:space="preserve">Леонтьева Арина Николаевна</t>
  </si>
  <si>
    <t xml:space="preserve">Лернер Александра Владимировна</t>
  </si>
  <si>
    <t xml:space="preserve">Лесников Владимир Алексеевич</t>
  </si>
  <si>
    <t xml:space="preserve">Линейский Аким Евгеньевич</t>
  </si>
  <si>
    <t xml:space="preserve">Лобанов Роман Артемович</t>
  </si>
  <si>
    <t xml:space="preserve">Логачев Владислав Алексеевич</t>
  </si>
  <si>
    <t xml:space="preserve">Лоскутов Прохор Александрович</t>
  </si>
  <si>
    <t xml:space="preserve">Лужецкая Алёна Михайловна</t>
  </si>
  <si>
    <t xml:space="preserve">Лукина Татьяна Александровна</t>
  </si>
  <si>
    <t xml:space="preserve">Лукошников Дмитрий Викторович</t>
  </si>
  <si>
    <t xml:space="preserve">Львова Елизавета Юрьевна</t>
  </si>
  <si>
    <t xml:space="preserve">Любимов Артём Павлович</t>
  </si>
  <si>
    <t xml:space="preserve">Макаров Матвей Романович</t>
  </si>
  <si>
    <t xml:space="preserve">Макашин Андрей Михайлович</t>
  </si>
  <si>
    <t xml:space="preserve">Макогон Ярослав Вадимович</t>
  </si>
  <si>
    <t xml:space="preserve">Манасарян Милена Аваговна</t>
  </si>
  <si>
    <t xml:space="preserve">Мантуш Даниил Валерьевич</t>
  </si>
  <si>
    <t xml:space="preserve">Маренников Андрей Иванович</t>
  </si>
  <si>
    <t xml:space="preserve">Маринин Матвей Александрович</t>
  </si>
  <si>
    <t xml:space="preserve">Мартинес Родригес Мартин Адриан</t>
  </si>
  <si>
    <t xml:space="preserve">Марьин Григорий Алексеевич</t>
  </si>
  <si>
    <t xml:space="preserve">Матвеева Полина Павловна</t>
  </si>
  <si>
    <t xml:space="preserve">Махмутова Диана Радиковна</t>
  </si>
  <si>
    <t xml:space="preserve">Махфод Али</t>
  </si>
  <si>
    <t xml:space="preserve">Мельник Фёдор Александрович</t>
  </si>
  <si>
    <t xml:space="preserve">Меснянкин Максим Александрович</t>
  </si>
  <si>
    <t xml:space="preserve">Михайлов Петр Сергеевич</t>
  </si>
  <si>
    <t xml:space="preserve">Михайлов Степан Сергеевич</t>
  </si>
  <si>
    <t xml:space="preserve">P3124</t>
  </si>
  <si>
    <t xml:space="preserve">Мокшев Владимир Андреевич</t>
  </si>
  <si>
    <t xml:space="preserve">Молоков Федор Михайлович</t>
  </si>
  <si>
    <t xml:space="preserve">Мохамед Амр Ибрахим Гениди</t>
  </si>
  <si>
    <t xml:space="preserve">Мохаммед Ахмед Атеф Абделлатиф Рефаи</t>
  </si>
  <si>
    <t xml:space="preserve">Музыка Олег Сергеевич</t>
  </si>
  <si>
    <t xml:space="preserve">Муродзода Мехрон</t>
  </si>
  <si>
    <t xml:space="preserve">Мухамедьяров Артур Альбертович</t>
  </si>
  <si>
    <t xml:space="preserve">Мухаммад Аднан Иса</t>
  </si>
  <si>
    <t xml:space="preserve">Мухитдинов Азизхон</t>
  </si>
  <si>
    <t xml:space="preserve">Мучокочоко Этель Тиней</t>
  </si>
  <si>
    <t xml:space="preserve">Мыц Иван Евгеньевич</t>
  </si>
  <si>
    <t xml:space="preserve">Мясников Артём Валерьевич</t>
  </si>
  <si>
    <t xml:space="preserve">Набиев Тимофей Русланович</t>
  </si>
  <si>
    <t xml:space="preserve">Нагорный Николай Викторович</t>
  </si>
  <si>
    <t xml:space="preserve">Надольский Кирилл Николаевич</t>
  </si>
  <si>
    <t xml:space="preserve">Назайкин Егор Евгеньевич</t>
  </si>
  <si>
    <t xml:space="preserve">Наумов Мирослав</t>
  </si>
  <si>
    <t xml:space="preserve">Некрасов Александр</t>
  </si>
  <si>
    <t xml:space="preserve">Некрутенко Максим Владимирович</t>
  </si>
  <si>
    <t xml:space="preserve">Немировская Татьяна Игоревна</t>
  </si>
  <si>
    <t xml:space="preserve">Немыкин Ярослав Алексеевич</t>
  </si>
  <si>
    <t xml:space="preserve">Нефедов Семён Александрович</t>
  </si>
  <si>
    <t xml:space="preserve">Нигматчанов Никита Андреевич</t>
  </si>
  <si>
    <t xml:space="preserve">Никитенко Матвей Олегович</t>
  </si>
  <si>
    <t xml:space="preserve">Никифоров Кирилл Евгеньевич</t>
  </si>
  <si>
    <t xml:space="preserve">Николаева Александра Владимировна</t>
  </si>
  <si>
    <t xml:space="preserve">Николенко Максим Викторович</t>
  </si>
  <si>
    <t xml:space="preserve">Новиков Даниил Дмитриевич</t>
  </si>
  <si>
    <t xml:space="preserve">Новосельский Андрей Сергеевич</t>
  </si>
  <si>
    <t xml:space="preserve">Образцов Максим Евгеньевич</t>
  </si>
  <si>
    <t xml:space="preserve">Овлякулыев Расул</t>
  </si>
  <si>
    <t xml:space="preserve">Овчинников Данил Михайлович</t>
  </si>
  <si>
    <t xml:space="preserve">Ожеховский Александр</t>
  </si>
  <si>
    <t xml:space="preserve">Оладое Майкл Блессинг</t>
  </si>
  <si>
    <t xml:space="preserve">Орлов Игорь Юрьевич</t>
  </si>
  <si>
    <t xml:space="preserve">Осипов Вячеслав Витальевич</t>
  </si>
  <si>
    <t xml:space="preserve">Остапишин Никита Алексеевич</t>
  </si>
  <si>
    <t xml:space="preserve">Павленко Иван Дмитриевич</t>
  </si>
  <si>
    <t xml:space="preserve">Павлов Руслан Алексеевич</t>
  </si>
  <si>
    <t xml:space="preserve">Павлов Эдгар Айсенович</t>
  </si>
  <si>
    <t xml:space="preserve">Панченко Антон Дмитриевич</t>
  </si>
  <si>
    <t xml:space="preserve">Паршуков Семён Алексеевич</t>
  </si>
  <si>
    <t xml:space="preserve">Пахомов Даниил Михайлович</t>
  </si>
  <si>
    <t xml:space="preserve">Пахомов Игнат Александрович</t>
  </si>
  <si>
    <t xml:space="preserve">Петрова Полина Алексеевна</t>
  </si>
  <si>
    <t xml:space="preserve">Пивоваров Роман Николаевич</t>
  </si>
  <si>
    <t xml:space="preserve">Пиляров Руслан Назирович</t>
  </si>
  <si>
    <t xml:space="preserve">Пингачева Лилия Сергеевна</t>
  </si>
  <si>
    <t xml:space="preserve">Плющев Александр Алексеевич</t>
  </si>
  <si>
    <t xml:space="preserve">Полищенко Николай Николаевич</t>
  </si>
  <si>
    <t xml:space="preserve">Поллак Артур Дмитриевич</t>
  </si>
  <si>
    <t xml:space="preserve">Полуянов Игорь Андреевич</t>
  </si>
  <si>
    <t xml:space="preserve">Поляков Алексей Леонидович</t>
  </si>
  <si>
    <t xml:space="preserve">Поляков Иван Романович</t>
  </si>
  <si>
    <t xml:space="preserve">Попов Глеб Ильич</t>
  </si>
  <si>
    <t xml:space="preserve">Попов Кирилл Олегович</t>
  </si>
  <si>
    <t xml:space="preserve">Прокопенко Сергей Петрович</t>
  </si>
  <si>
    <t xml:space="preserve">Прокофьев Роман Алексеевич</t>
  </si>
  <si>
    <t xml:space="preserve">Пулотов Фирдавсджон Шухратович</t>
  </si>
  <si>
    <t xml:space="preserve">Пчелкин Илья Игоревич</t>
  </si>
  <si>
    <t xml:space="preserve">Пшеничников Артём Дмитриевич</t>
  </si>
  <si>
    <t xml:space="preserve">Радченко Алина Александровна</t>
  </si>
  <si>
    <t xml:space="preserve">Разгоняев Максим Витальевич</t>
  </si>
  <si>
    <t xml:space="preserve">Разыграев Кирилл Сергеевич</t>
  </si>
  <si>
    <t xml:space="preserve">Рахаман Мд Афифур</t>
  </si>
  <si>
    <t xml:space="preserve">Рахман Матвей Максимович</t>
  </si>
  <si>
    <t xml:space="preserve">Рашид Мд Шахриар</t>
  </si>
  <si>
    <t xml:space="preserve">Резк Ахмед Мохамед Хамза</t>
  </si>
  <si>
    <t xml:space="preserve">Резников Алексей Романович</t>
  </si>
  <si>
    <t xml:space="preserve">Решетников Сергей Евгеньевич</t>
  </si>
  <si>
    <t xml:space="preserve">Решетов Даниил Алексеевич</t>
  </si>
  <si>
    <t xml:space="preserve">Рзаев Ахмед Меджидович</t>
  </si>
  <si>
    <t xml:space="preserve">Ровкова Анастасия Сергеевна</t>
  </si>
  <si>
    <t xml:space="preserve">Рогович Мария Михайловна</t>
  </si>
  <si>
    <t xml:space="preserve">Родионов Максим Артемович</t>
  </si>
  <si>
    <t xml:space="preserve">Русанов Сергей Константинович</t>
  </si>
  <si>
    <t xml:space="preserve">Рутман Роман Ильич</t>
  </si>
  <si>
    <t xml:space="preserve">Рыжаков Владислав Александрович</t>
  </si>
  <si>
    <t xml:space="preserve">Рябов Георгий Алексеевич</t>
  </si>
  <si>
    <t xml:space="preserve">Рябцева Вероника Александровна</t>
  </si>
  <si>
    <t xml:space="preserve">Рязанов Григорий Алексеевич</t>
  </si>
  <si>
    <t xml:space="preserve">Рязанов Никита Сергеевич</t>
  </si>
  <si>
    <t xml:space="preserve">Савинов Дмитрий Александрович</t>
  </si>
  <si>
    <t xml:space="preserve">Саитов Камиль Булатович</t>
  </si>
  <si>
    <t xml:space="preserve">Саллум Фажр</t>
  </si>
  <si>
    <t xml:space="preserve">Саломахин Тимур Евгеньевич</t>
  </si>
  <si>
    <t xml:space="preserve">Салями Анас</t>
  </si>
  <si>
    <t xml:space="preserve">Самсонова Владислава Николаевна</t>
  </si>
  <si>
    <t xml:space="preserve">Санатин Дмитрий Павлович</t>
  </si>
  <si>
    <t xml:space="preserve">Сарваров Тимур Фазаелович</t>
  </si>
  <si>
    <t xml:space="preserve">Сафин Максим Владиславович</t>
  </si>
  <si>
    <t xml:space="preserve">Сафронов Матвей Денисович</t>
  </si>
  <si>
    <t xml:space="preserve">Светлов Илья Александрович</t>
  </si>
  <si>
    <t xml:space="preserve">Свечников Константин Денисович</t>
  </si>
  <si>
    <t xml:space="preserve">Свечников Фёдор Андреевич</t>
  </si>
  <si>
    <t xml:space="preserve">Селецкий Никита Антонович</t>
  </si>
  <si>
    <t xml:space="preserve">Семенов Егор Евгеньевич</t>
  </si>
  <si>
    <t xml:space="preserve">Сенькина Мария Дмитриевна</t>
  </si>
  <si>
    <t xml:space="preserve">Середа Вероника Сергеевна</t>
  </si>
  <si>
    <t xml:space="preserve">Серенко Егор Игоревич</t>
  </si>
  <si>
    <t xml:space="preserve">Сидоров Илья Александрович</t>
  </si>
  <si>
    <t xml:space="preserve">Симакова Алёна Александровна</t>
  </si>
  <si>
    <t xml:space="preserve">Симдякина Виктория Вадимовна</t>
  </si>
  <si>
    <t xml:space="preserve">Симонов Лев Константинович</t>
  </si>
  <si>
    <t xml:space="preserve">Симончук Захарий Александрович</t>
  </si>
  <si>
    <t xml:space="preserve">Ситдиков Рафаэль Ильдусович</t>
  </si>
  <si>
    <t xml:space="preserve">Скворцова Дарья Алексеевна</t>
  </si>
  <si>
    <t xml:space="preserve">Слаев Амаль Ликманович</t>
  </si>
  <si>
    <t xml:space="preserve">Сланов Артур Робертович</t>
  </si>
  <si>
    <t xml:space="preserve">Слудная Виктория Евгеньевна</t>
  </si>
  <si>
    <t xml:space="preserve">Смирнов Андрей Алексеевич</t>
  </si>
  <si>
    <t xml:space="preserve">Смирнов Вадим Константинович</t>
  </si>
  <si>
    <t xml:space="preserve">Смирнов Георгий Алексеевич</t>
  </si>
  <si>
    <t xml:space="preserve">Снагин Станислав Максимович</t>
  </si>
  <si>
    <t xml:space="preserve">Соболев Егор Викторович</t>
  </si>
  <si>
    <t xml:space="preserve">Соколов Александр Алексеевич</t>
  </si>
  <si>
    <t xml:space="preserve">Солдатов Кирилл Александрович</t>
  </si>
  <si>
    <t xml:space="preserve">Соловьев Алексей Владиславович</t>
  </si>
  <si>
    <t xml:space="preserve">Соловьев Даниил Дмитриевич</t>
  </si>
  <si>
    <t xml:space="preserve">Сологубов Матвей Алексеевич</t>
  </si>
  <si>
    <t xml:space="preserve">Софьин Вячеслав Евгеньевич</t>
  </si>
  <si>
    <t xml:space="preserve">Стариков Арсений Дмитриевич</t>
  </si>
  <si>
    <t xml:space="preserve">Старченко Александр Николаевич</t>
  </si>
  <si>
    <t xml:space="preserve">Степанов Илья Алексеевич</t>
  </si>
  <si>
    <t xml:space="preserve">Стивен Франклин Фейвор Ннаемека</t>
  </si>
  <si>
    <t xml:space="preserve">Столбченко Илья Викторович</t>
  </si>
  <si>
    <t xml:space="preserve">Стрелов Алексей Дмитриевич</t>
  </si>
  <si>
    <t xml:space="preserve">Су Лянхуа</t>
  </si>
  <si>
    <t xml:space="preserve">Суворов Роман Алексеевич</t>
  </si>
  <si>
    <t xml:space="preserve">Суворов Станислав Денисович</t>
  </si>
  <si>
    <t xml:space="preserve">Суина Полина Александровна</t>
  </si>
  <si>
    <t xml:space="preserve">Сухачев Владимир Павлович</t>
  </si>
  <si>
    <t xml:space="preserve">Сушко Александр Александрович</t>
  </si>
  <si>
    <t xml:space="preserve">Сущева Мария Егоровна</t>
  </si>
  <si>
    <t xml:space="preserve">Сычков Никита Сергеевич</t>
  </si>
  <si>
    <t xml:space="preserve">Сыщиков Никита Сергеевич</t>
  </si>
  <si>
    <t xml:space="preserve">Сюзен Керим</t>
  </si>
  <si>
    <t xml:space="preserve">Тарасов Владислав Павлович</t>
  </si>
  <si>
    <t xml:space="preserve">Тарасов Савелий Дмитриевич</t>
  </si>
  <si>
    <t xml:space="preserve">Таратенко Алексей Вадимович</t>
  </si>
  <si>
    <t xml:space="preserve">Тарнопольский Максим Николаевич</t>
  </si>
  <si>
    <t xml:space="preserve">Таустоб Глеб Витальевич</t>
  </si>
  <si>
    <t xml:space="preserve">Тенькаев Артём Антонович</t>
  </si>
  <si>
    <t xml:space="preserve">Терехов Юрий Владимирович</t>
  </si>
  <si>
    <t xml:space="preserve">Тимофеев Андрей Дмитриевич</t>
  </si>
  <si>
    <t xml:space="preserve">Ткачев Денис Владимирович</t>
  </si>
  <si>
    <t xml:space="preserve">Толмачёв Игорь Дмитриевич</t>
  </si>
  <si>
    <t xml:space="preserve">Тонков Николай Павлович</t>
  </si>
  <si>
    <t xml:space="preserve">Торбин Илья Александрович</t>
  </si>
  <si>
    <t xml:space="preserve">Торопов Павел Кириллович</t>
  </si>
  <si>
    <t xml:space="preserve">Трещева Олеся Дмитриевна</t>
  </si>
  <si>
    <t xml:space="preserve">Тунчер Кадирхан</t>
  </si>
  <si>
    <t xml:space="preserve">Турыгин Никита Денисович</t>
  </si>
  <si>
    <t xml:space="preserve">Уджах Генри Агада</t>
  </si>
  <si>
    <t xml:space="preserve">Умарова Амина Магомедгабибовна</t>
  </si>
  <si>
    <t xml:space="preserve">Фадин Константин Алексеевич</t>
  </si>
  <si>
    <t xml:space="preserve">Фан Тан Зунг</t>
  </si>
  <si>
    <t xml:space="preserve">Федоров Дмитрий Александрович</t>
  </si>
  <si>
    <t xml:space="preserve">Федяев Михаил Дмитриевич</t>
  </si>
  <si>
    <t xml:space="preserve">Филимонов Глеб Максимович</t>
  </si>
  <si>
    <t xml:space="preserve">Филимонов Никита Данилович</t>
  </si>
  <si>
    <t xml:space="preserve">Фокин Владимир Сергеевич</t>
  </si>
  <si>
    <t xml:space="preserve">Фонарева Виктория Сергеевна</t>
  </si>
  <si>
    <t xml:space="preserve">Хабиров Тимур Рустемович</t>
  </si>
  <si>
    <t xml:space="preserve">Хакимова Сафина Рамисовна</t>
  </si>
  <si>
    <t xml:space="preserve">Харламов Владислав Сергеевич</t>
  </si>
  <si>
    <t xml:space="preserve">Хахулина Светлана Алексеевна</t>
  </si>
  <si>
    <t xml:space="preserve">Хоанг Тхе Вьет</t>
  </si>
  <si>
    <t xml:space="preserve">Хойрыш Семён Алексеевич</t>
  </si>
  <si>
    <t xml:space="preserve">Храбров Артём Алексеевич</t>
  </si>
  <si>
    <t xml:space="preserve">Христофоров Виталий Николаевич</t>
  </si>
  <si>
    <t xml:space="preserve">Целиков Даниил Александрович</t>
  </si>
  <si>
    <t xml:space="preserve">Чабан Артём Викторович</t>
  </si>
  <si>
    <t xml:space="preserve">Чайковский Никита Михайлович</t>
  </si>
  <si>
    <t xml:space="preserve">Чебыкин Владимир Андреевич</t>
  </si>
  <si>
    <t xml:space="preserve">Чжун Цзяцзюнь</t>
  </si>
  <si>
    <t xml:space="preserve">Чимирев Антон Олегович</t>
  </si>
  <si>
    <t xml:space="preserve">Чимирев Игорь Олегович</t>
  </si>
  <si>
    <t xml:space="preserve">Чирима Инносент Кельвин</t>
  </si>
  <si>
    <t xml:space="preserve">Чирков Денис Александрович</t>
  </si>
  <si>
    <t xml:space="preserve">Чистякова Екатерина Александровна</t>
  </si>
  <si>
    <t xml:space="preserve">Чупров Иван Андреевич</t>
  </si>
  <si>
    <t xml:space="preserve">Чэнь Хаолинь</t>
  </si>
  <si>
    <t xml:space="preserve">Шайкина Виктория Евгеньевна</t>
  </si>
  <si>
    <t xml:space="preserve">Шарапова Алиса Алексеевна</t>
  </si>
  <si>
    <t xml:space="preserve">Шашкин Игорь Витальевич</t>
  </si>
  <si>
    <t xml:space="preserve">Швецов Егор Максимович</t>
  </si>
  <si>
    <t xml:space="preserve">Шихахмедов Багаутдин Вадимович</t>
  </si>
  <si>
    <t xml:space="preserve">Шишкин Артём Владимирович</t>
  </si>
  <si>
    <t xml:space="preserve">Шкиптан Александр Олегович</t>
  </si>
  <si>
    <t xml:space="preserve">Шмидько Елизавета Львовна</t>
  </si>
  <si>
    <t xml:space="preserve">Шубин Егор Вячеславович</t>
  </si>
  <si>
    <t xml:space="preserve">Шукаев Олег Евгеньевич</t>
  </si>
  <si>
    <t xml:space="preserve">Шумахер Демид Сергеевич</t>
  </si>
  <si>
    <t xml:space="preserve">Юксель Хамза</t>
  </si>
  <si>
    <t xml:space="preserve">Яковлев Степан Сергеевич</t>
  </si>
  <si>
    <t xml:space="preserve">Яременко Владимир Михайлович</t>
  </si>
  <si>
    <t xml:space="preserve">Яруков Артём Дмитриевич</t>
  </si>
  <si>
    <t xml:space="preserve">Ярулина Алесия Ильгамовна</t>
  </si>
  <si>
    <t xml:space="preserve">Ясаков Артем Андреевич</t>
  </si>
  <si>
    <t xml:space="preserve">Ортис Варгас Сара Хулиана</t>
  </si>
  <si>
    <t xml:space="preserve">Смирнов Кирилл Львович</t>
  </si>
  <si>
    <t xml:space="preserve">Кан Анатолий Андреевич</t>
  </si>
  <si>
    <t xml:space="preserve">Р3106</t>
  </si>
  <si>
    <t xml:space="preserve">Маншетов Максим Владимироваич</t>
  </si>
  <si>
    <t xml:space="preserve">Дърлянов Христо</t>
  </si>
  <si>
    <t xml:space="preserve">Исаев Сергей Алексеевич</t>
  </si>
  <si>
    <t xml:space="preserve">Аникин Максим</t>
  </si>
  <si>
    <t xml:space="preserve">Паредес Кампана Хулио Сесар</t>
  </si>
  <si>
    <t xml:space="preserve">Арианто Афифах Зулфа</t>
  </si>
  <si>
    <t xml:space="preserve">Езерский Андрей Александрович</t>
  </si>
  <si>
    <t xml:space="preserve">N</t>
  </si>
  <si>
    <t xml:space="preserve">*</t>
  </si>
  <si>
    <t xml:space="preserve">да</t>
  </si>
  <si>
    <t xml:space="preserve">Преподаватель: Цю</t>
  </si>
  <si>
    <t xml:space="preserve">**</t>
  </si>
  <si>
    <t xml:space="preserve">W</t>
  </si>
  <si>
    <t xml:space="preserve">СОфьин Вячеслав Евгеньевич</t>
  </si>
  <si>
    <t xml:space="preserve">***</t>
  </si>
  <si>
    <t xml:space="preserve">0.02</t>
  </si>
  <si>
    <t xml:space="preserve">Преподаватель: Вербовой Александ Александрович</t>
  </si>
  <si>
    <t xml:space="preserve">Ильичёв Александр Игоревич</t>
  </si>
  <si>
    <t xml:space="preserve">РЕшетов Даниил Алексеевич</t>
  </si>
  <si>
    <t xml:space="preserve">W - подошел к преподавателю</t>
  </si>
  <si>
    <t xml:space="preserve">Преподаватель:  Бострикова Д.К.</t>
  </si>
  <si>
    <t xml:space="preserve">Преподаватель: Остапенко Иван</t>
  </si>
  <si>
    <t xml:space="preserve">*****</t>
  </si>
  <si>
    <t xml:space="preserve">нет</t>
  </si>
  <si>
    <t xml:space="preserve">Преподаватель: Карташев Владимир</t>
  </si>
  <si>
    <t xml:space="preserve">ЛЕжнев Никита Сергеевич</t>
  </si>
  <si>
    <t xml:space="preserve">ПолИщенко Николай Николаевич</t>
  </si>
  <si>
    <t xml:space="preserve">сдало</t>
  </si>
  <si>
    <t xml:space="preserve">Преподаватель: Ермаков М.К.</t>
  </si>
  <si>
    <t xml:space="preserve">n</t>
  </si>
  <si>
    <t xml:space="preserve">30.10.2024</t>
  </si>
  <si>
    <t xml:space="preserve">27.11.2024</t>
  </si>
  <si>
    <t xml:space="preserve">11.12.2024</t>
  </si>
  <si>
    <t xml:space="preserve">y</t>
  </si>
  <si>
    <t xml:space="preserve">13.11.2024</t>
  </si>
  <si>
    <t xml:space="preserve">****</t>
  </si>
  <si>
    <t xml:space="preserve">02.10.2024</t>
  </si>
  <si>
    <t xml:space="preserve">16.10.2024</t>
  </si>
  <si>
    <t xml:space="preserve">Преподаватель: Коновалов Арсений Антонович</t>
  </si>
  <si>
    <t xml:space="preserve">Преподаватель: Блохина Елена Николаевна </t>
  </si>
  <si>
    <t xml:space="preserve">-</t>
  </si>
  <si>
    <t xml:space="preserve">18.11.24</t>
  </si>
  <si>
    <t xml:space="preserve">02.11.24 </t>
  </si>
  <si>
    <t xml:space="preserve">02.12.24</t>
  </si>
  <si>
    <t xml:space="preserve">НикОленко Максим Викторович</t>
  </si>
  <si>
    <t xml:space="preserve">10.02</t>
  </si>
  <si>
    <t xml:space="preserve">W - работал на занятии, показывал результаты, задавал вопросы, защищал работу</t>
  </si>
  <si>
    <t xml:space="preserve">Преподаватель: Тюрин Иван Николаевич</t>
  </si>
  <si>
    <t xml:space="preserve">Y*</t>
  </si>
  <si>
    <t xml:space="preserve">Y**</t>
  </si>
  <si>
    <t xml:space="preserve">21.11.24</t>
  </si>
  <si>
    <t xml:space="preserve">05.12.24</t>
  </si>
  <si>
    <t xml:space="preserve">14.11.24</t>
  </si>
  <si>
    <t xml:space="preserve">07.11.24</t>
  </si>
  <si>
    <t xml:space="preserve">14.11.2024</t>
  </si>
  <si>
    <t xml:space="preserve">Преподаватель: Деменев Тимур Гурбанович</t>
  </si>
  <si>
    <t xml:space="preserve">18.10</t>
  </si>
  <si>
    <t xml:space="preserve">15,5</t>
  </si>
  <si>
    <t xml:space="preserve">14,5</t>
  </si>
  <si>
    <t xml:space="preserve">Преподаватель: Ткешелашвили Н.М.</t>
  </si>
  <si>
    <t xml:space="preserve">допы</t>
  </si>
  <si>
    <t xml:space="preserve">ППА</t>
  </si>
  <si>
    <t xml:space="preserve">29.11.24</t>
  </si>
  <si>
    <t xml:space="preserve">08.11.24</t>
  </si>
  <si>
    <t xml:space="preserve">11.12.24</t>
  </si>
  <si>
    <t xml:space="preserve">06.12.24</t>
  </si>
  <si>
    <t xml:space="preserve">22.11.24</t>
  </si>
  <si>
    <t xml:space="preserve">1 раз</t>
  </si>
  <si>
    <r>
      <rPr>
        <sz val="11"/>
        <color theme="1"/>
        <rFont val="Arial"/>
        <family val="0"/>
        <charset val="1"/>
      </rPr>
      <t xml:space="preserve">Обляшевский С.А. </t>
    </r>
    <r>
      <rPr>
        <sz val="11"/>
        <color rgb="FF0000FF"/>
        <rFont val="Arial"/>
        <family val="0"/>
        <charset val="1"/>
      </rPr>
      <t xml:space="preserve">Карташев В.С.</t>
    </r>
  </si>
  <si>
    <t xml:space="preserve">доп 1</t>
  </si>
  <si>
    <t xml:space="preserve">доп 2</t>
  </si>
  <si>
    <t xml:space="preserve">доп 3</t>
  </si>
  <si>
    <t xml:space="preserve">ППА1</t>
  </si>
  <si>
    <t xml:space="preserve">0.01</t>
  </si>
  <si>
    <t xml:space="preserve">СтрЕлов Алексей Дмитриевич</t>
  </si>
  <si>
    <r>
      <rPr>
        <sz val="11"/>
        <color theme="1"/>
        <rFont val="Arial"/>
        <family val="0"/>
        <charset val="1"/>
      </rPr>
      <t xml:space="preserve">Преподаватель: </t>
    </r>
    <r>
      <rPr>
        <sz val="11"/>
        <color rgb="FF990000"/>
        <rFont val="Arial"/>
        <family val="0"/>
        <charset val="1"/>
      </rPr>
      <t xml:space="preserve">Цю</t>
    </r>
    <r>
      <rPr>
        <sz val="11"/>
        <color theme="1"/>
        <rFont val="Arial"/>
        <family val="0"/>
        <charset val="1"/>
      </rPr>
      <t xml:space="preserve">/</t>
    </r>
    <r>
      <rPr>
        <sz val="11"/>
        <color rgb="FF0B5394"/>
        <rFont val="Arial"/>
        <family val="0"/>
        <charset val="1"/>
      </rPr>
      <t xml:space="preserve">Обляшевский</t>
    </r>
  </si>
  <si>
    <t xml:space="preserve">Ислам Мд Асифул (english)</t>
  </si>
  <si>
    <t xml:space="preserve">Ларби Энох Асанте (english)</t>
  </si>
  <si>
    <t xml:space="preserve">Мохамед Амр Ибрахим Гениди (english)</t>
  </si>
  <si>
    <t xml:space="preserve">РУтман Роман Ильич</t>
  </si>
  <si>
    <t xml:space="preserve">Афифах Зулфа Арианто</t>
  </si>
  <si>
    <t xml:space="preserve">Преподаватель: Ермаков М.К. (красная половина), Нягин М.А.(желтая половина)</t>
  </si>
  <si>
    <t xml:space="preserve">9.10</t>
  </si>
  <si>
    <t xml:space="preserve"> y</t>
  </si>
  <si>
    <t xml:space="preserve">23.10</t>
  </si>
  <si>
    <t xml:space="preserve">06.11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</si>
</sst>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"/>
    <numFmt numFmtId="166" formatCode="#,##0.00"/>
    <numFmt numFmtId="167" formatCode="dd\.mm"/>
    <numFmt numFmtId="168" formatCode="d/m"/>
    <numFmt numFmtId="169" formatCode="0%"/>
    <numFmt numFmtId="170" formatCode="@"/>
    <numFmt numFmtId="171" formatCode="dd/mm"/>
    <numFmt numFmtId="172" formatCode="0.0"/>
    <numFmt numFmtId="173" formatCode="dd/mm/yyyy"/>
    <numFmt numFmtId="174" formatCode="0"/>
    <numFmt numFmtId="175" formatCode="d/m/yyyy"/>
    <numFmt numFmtId="176" formatCode="d/m/yy"/>
    <numFmt numFmtId="177" formatCode="#,##0.0"/>
    <numFmt numFmtId="178" formatCode="#,##0"/>
    <numFmt numFmtId="179" formatCode="dd/mm/yy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B7B7B7"/>
      <name val="Arial"/>
      <family val="0"/>
      <charset val="1"/>
    </font>
    <font>
      <b val="true"/>
      <sz val="9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9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theme="1"/>
      <name val="Times New Roman"/>
      <family val="0"/>
      <charset val="1"/>
    </font>
    <font>
      <sz val="8"/>
      <color theme="1"/>
      <name val="Arial"/>
      <family val="0"/>
      <charset val="1"/>
    </font>
    <font>
      <sz val="11"/>
      <color rgb="FFB7B7B7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0"/>
      <name val="Arial"/>
      <family val="2"/>
    </font>
    <font>
      <b val="true"/>
      <sz val="14"/>
      <color rgb="FF000000"/>
      <name val="Arial"/>
      <family val="0"/>
      <charset val="1"/>
    </font>
    <font>
      <b val="true"/>
      <sz val="14"/>
      <color theme="1"/>
      <name val="Arial"/>
      <family val="0"/>
      <charset val="1"/>
    </font>
    <font>
      <sz val="14"/>
      <color rgb="FF000000"/>
      <name val="Arial"/>
      <family val="0"/>
      <charset val="1"/>
    </font>
    <font>
      <u val="single"/>
      <sz val="14"/>
      <color rgb="FF337AB7"/>
      <name val="Cambria"/>
      <family val="0"/>
      <charset val="1"/>
    </font>
    <font>
      <sz val="14"/>
      <color theme="1"/>
      <name val="Arial"/>
      <family val="0"/>
      <charset val="1"/>
    </font>
    <font>
      <u val="single"/>
      <sz val="14"/>
      <color rgb="FF0000FF"/>
      <name val="Cambria"/>
      <family val="0"/>
      <charset val="1"/>
    </font>
    <font>
      <sz val="13"/>
      <color theme="1"/>
      <name val="Arial"/>
      <family val="0"/>
      <charset val="1"/>
    </font>
    <font>
      <sz val="9"/>
      <color rgb="FF000000"/>
      <name val="Arial"/>
      <family val="0"/>
      <charset val="1"/>
    </font>
    <font>
      <strike val="true"/>
      <sz val="10"/>
      <color theme="1"/>
      <name val="Arial"/>
      <family val="0"/>
      <charset val="1"/>
    </font>
    <font>
      <sz val="11"/>
      <color rgb="FFCC0000"/>
      <name val="Arial"/>
      <family val="0"/>
      <charset val="1"/>
    </font>
    <font>
      <sz val="11"/>
      <color rgb="FF0000FF"/>
      <name val="Arial"/>
      <family val="0"/>
      <charset val="1"/>
    </font>
    <font>
      <sz val="11"/>
      <color rgb="FF990000"/>
      <name val="Arial"/>
      <family val="0"/>
      <charset val="1"/>
    </font>
    <font>
      <sz val="11"/>
      <color rgb="FF0B5394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theme="0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theme="9"/>
        <bgColor rgb="FF339966"/>
      </patternFill>
    </fill>
    <fill>
      <patternFill patternType="solid">
        <fgColor rgb="FFFCE5CD"/>
        <bgColor rgb="FFE4E4E4"/>
      </patternFill>
    </fill>
    <fill>
      <patternFill patternType="solid">
        <fgColor rgb="FFFFD966"/>
        <bgColor rgb="FFFCE5CD"/>
      </patternFill>
    </fill>
    <fill>
      <patternFill patternType="solid">
        <fgColor rgb="FF00FF00"/>
        <bgColor rgb="FF00FFFF"/>
      </patternFill>
    </fill>
    <fill>
      <patternFill patternType="solid">
        <fgColor rgb="FFD9D9D9"/>
        <bgColor rgb="FFE4E4E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9FC5E8"/>
      </patternFill>
    </fill>
    <fill>
      <patternFill patternType="solid">
        <fgColor rgb="FFEA9999"/>
        <bgColor rgb="FFE6B8AF"/>
      </patternFill>
    </fill>
    <fill>
      <patternFill patternType="solid">
        <fgColor rgb="FF9FC5E8"/>
        <bgColor rgb="FFA4C2F4"/>
      </patternFill>
    </fill>
    <fill>
      <patternFill patternType="solid">
        <fgColor rgb="FFE6B8AF"/>
        <bgColor rgb="FFF4CCCC"/>
      </patternFill>
    </fill>
    <fill>
      <patternFill patternType="solid">
        <fgColor rgb="FFFF0000"/>
        <bgColor rgb="FFCC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E4E4E4"/>
      </left>
      <right style="thin">
        <color rgb="FFE4E4E4"/>
      </right>
      <top/>
      <bottom/>
      <diagonal/>
    </border>
    <border diagonalUp="false" diagonalDown="false"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19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76" fontId="13" fillId="5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7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6" fillId="4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1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666666"/>
      </font>
      <fill>
        <patternFill/>
      </fill>
    </dxf>
    <dxf>
      <font>
        <color rgb="FF38761D"/>
      </font>
      <fill>
        <patternFill/>
      </fill>
    </dxf>
    <dxf>
      <fill>
        <patternFill>
          <bgColor rgb="FFC3EFDA"/>
        </patternFill>
      </fill>
    </dxf>
    <dxf>
      <fill>
        <patternFill>
          <bgColor rgb="FFF4CCCC"/>
        </patternFill>
      </fill>
    </dxf>
    <dxf>
      <fill>
        <patternFill>
          <bgColor rgb="FFFFD966"/>
        </patternFill>
      </fill>
    </dxf>
    <dxf>
      <font>
        <color rgb="FFCC0000"/>
      </font>
      <fill>
        <patternFill/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9900FF"/>
      <rgbColor rgb="FF008080"/>
      <rgbColor rgb="FFB7B7B7"/>
      <rgbColor rgb="FF808080"/>
      <rgbColor rgb="FFA4C2F4"/>
      <rgbColor rgb="FF993366"/>
      <rgbColor rgb="FFF3F3F3"/>
      <rgbColor rgb="FFEFEFEF"/>
      <rgbColor rgb="FF4C1130"/>
      <rgbColor rgb="FFD9D9D9"/>
      <rgbColor rgb="FF0B5394"/>
      <rgbColor rgb="FFCCCCCC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E4E4E4"/>
      <rgbColor rgb="FFC3EFDA"/>
      <rgbColor rgb="FFFCE5CD"/>
      <rgbColor rgb="FF9FC5E8"/>
      <rgbColor rgb="FFEA9999"/>
      <rgbColor rgb="FFE6B8AF"/>
      <rgbColor rgb="FFF4CCCC"/>
      <rgbColor rgb="FF337AB7"/>
      <rgbColor rgb="FF46BDC6"/>
      <rgbColor rgb="FF99CC00"/>
      <rgbColor rgb="FFFFD966"/>
      <rgbColor rgb="FFFF9900"/>
      <rgbColor rgb="FFFF6600"/>
      <rgbColor rgb="FF666666"/>
      <rgbColor rgb="FFB7E1C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8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9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10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vmlDrawing" Target="../drawings/vmlDrawing12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13.v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14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15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su.ifmo.ru/pls/apex/f?p=2143:PERSON:100554432904982::NO:RP:PID:464900" TargetMode="External"/><Relationship Id="rId2" Type="http://schemas.openxmlformats.org/officeDocument/2006/relationships/hyperlink" Target="https://isu.ifmo.ru/pls/apex/f?p=2143:PERSON:100554432904982::NO:RP:PID:471628" TargetMode="External"/><Relationship Id="rId3" Type="http://schemas.openxmlformats.org/officeDocument/2006/relationships/hyperlink" Target="https://isu.ifmo.ru/pls/apex/f?p=2143:PERSON:100554432904982::NO:RP:PID:464902" TargetMode="External"/><Relationship Id="rId4" Type="http://schemas.openxmlformats.org/officeDocument/2006/relationships/hyperlink" Target="https://isu.ifmo.ru/pls/apex/f?p=2143:PERSON:104550057455727::NO:RP:PID:464904" TargetMode="External"/><Relationship Id="rId5" Type="http://schemas.openxmlformats.org/officeDocument/2006/relationships/hyperlink" Target="https://isu.ifmo.ru/pls/apex/f?p=2143:PERSON:104550057455727::NO:RP:PID:464905" TargetMode="External"/><Relationship Id="rId6" Type="http://schemas.openxmlformats.org/officeDocument/2006/relationships/hyperlink" Target="https://isu.ifmo.ru/pls/apex/f?p=2143:PERSON:104550057455727::NO:RP:PID:464906" TargetMode="External"/><Relationship Id="rId7" Type="http://schemas.openxmlformats.org/officeDocument/2006/relationships/hyperlink" Target="https://isu.ifmo.ru/pls/apex/f?p=2143:PERSON:104550057455727::NO:RP:PID:464917" TargetMode="External"/><Relationship Id="rId8" Type="http://schemas.openxmlformats.org/officeDocument/2006/relationships/hyperlink" Target="https://isu.ifmo.ru/pls/apex/f?p=2143:PERSON:104550057455727::NO:RP:PID:464921" TargetMode="External"/><Relationship Id="rId9" Type="http://schemas.openxmlformats.org/officeDocument/2006/relationships/hyperlink" Target="https://isu.ifmo.ru/pls/apex/f?p=2143:PERSON:104550057455727::NO:RP:PID:471658" TargetMode="External"/><Relationship Id="rId10" Type="http://schemas.openxmlformats.org/officeDocument/2006/relationships/hyperlink" Target="https://isu.ifmo.ru/pls/apex/f?p=2143:PERSON:109489113733600::NO:RP:PID:374856" TargetMode="External"/><Relationship Id="rId11" Type="http://schemas.openxmlformats.org/officeDocument/2006/relationships/hyperlink" Target="https://isu.ifmo.ru/pls/apex/f?p=2143:PERSON:104550057455727::NO:RP:PID:399913" TargetMode="External"/><Relationship Id="rId12" Type="http://schemas.openxmlformats.org/officeDocument/2006/relationships/hyperlink" Target="https://isu.ifmo.ru/pls/apex/f?p=2143:PERSON:100554432904982::NO:RP:PID:471668" TargetMode="External"/><Relationship Id="rId13" Type="http://schemas.openxmlformats.org/officeDocument/2006/relationships/hyperlink" Target="https://isu.ifmo.ru/pls/apex/f?p=2143:PERSON:104550057455727::NO:RP:PID:464985" TargetMode="External"/><Relationship Id="rId14" Type="http://schemas.openxmlformats.org/officeDocument/2006/relationships/hyperlink" Target="https://isu.ifmo.ru/pls/apex/f?p=2143:PERSON:100554432904982::NO:RP:PID:408027" TargetMode="External"/><Relationship Id="rId15" Type="http://schemas.openxmlformats.org/officeDocument/2006/relationships/hyperlink" Target="https://isu.ifmo.ru/pls/apex/f?p=2143:PERSON:104550057455727::NO:RP:PID:465026" TargetMode="External"/><Relationship Id="rId16" Type="http://schemas.openxmlformats.org/officeDocument/2006/relationships/hyperlink" Target="https://isu.ifmo.ru/pls/apex/f?p=2143:PERSON:100554432904982::NO:RP:PID:465029" TargetMode="External"/><Relationship Id="rId17" Type="http://schemas.openxmlformats.org/officeDocument/2006/relationships/hyperlink" Target="https://isu.ifmo.ru/pls/apex/f?p=2143:PERSON:104550057455727::NO:RP:PID:465058" TargetMode="External"/><Relationship Id="rId18" Type="http://schemas.openxmlformats.org/officeDocument/2006/relationships/hyperlink" Target="https://isu.ifmo.ru/pls/apex/f?p=2143:PERSON:104550057455727::NO:RP:PID:476150" TargetMode="External"/><Relationship Id="rId19" Type="http://schemas.openxmlformats.org/officeDocument/2006/relationships/hyperlink" Target="https://isu.ifmo.ru/pls/apex/f?p=2143:PERSON:104550057455727::NO:RP:PID:408184" TargetMode="External"/><Relationship Id="rId20" Type="http://schemas.openxmlformats.org/officeDocument/2006/relationships/hyperlink" Target="https://isu.ifmo.ru/pls/apex/f?p=2143:PERSON:104550057455727::NO:RP:PID:465105" TargetMode="External"/><Relationship Id="rId21" Type="http://schemas.openxmlformats.org/officeDocument/2006/relationships/hyperlink" Target="https://isu.ifmo.ru/pls/apex/f?p=2143:PERSON:104550057455727::NO:RP:PID:465142" TargetMode="External"/><Relationship Id="rId22" Type="http://schemas.openxmlformats.org/officeDocument/2006/relationships/hyperlink" Target="https://isu.ifmo.ru/pls/apex/f?p=2143:PERSON:100554432904982::NO:RP:PID:471733" TargetMode="External"/><Relationship Id="rId23" Type="http://schemas.openxmlformats.org/officeDocument/2006/relationships/hyperlink" Target="https://isu.ifmo.ru/pls/apex/f?p=2143:PERSON:104550057455727::NO:RP:PID:465186" TargetMode="External"/><Relationship Id="rId24" Type="http://schemas.openxmlformats.org/officeDocument/2006/relationships/hyperlink" Target="https://isu.ifmo.ru/pls/apex/f?p=2143:PERSON:100554432904982::NO:RP:PID:407784" TargetMode="External"/><Relationship Id="rId25" Type="http://schemas.openxmlformats.org/officeDocument/2006/relationships/hyperlink" Target="https://isu.ifmo.ru/pls/apex/f?p=2143:PERSON:105499636758832::NO:RP:PID:408076" TargetMode="External"/><Relationship Id="rId26" Type="http://schemas.openxmlformats.org/officeDocument/2006/relationships/hyperlink" Target="https://isu.ifmo.ru/pls/apex/f?p=2143:PERSON:104550057455727::NO:RP:PID:465211" TargetMode="External"/><Relationship Id="rId27" Type="http://schemas.openxmlformats.org/officeDocument/2006/relationships/hyperlink" Target="https://isu.ifmo.ru/pls/apex/f?p=2143:PERSON:100554432904982::NO:RP:PID:465224" TargetMode="External"/><Relationship Id="rId28" Type="http://schemas.openxmlformats.org/officeDocument/2006/relationships/hyperlink" Target="https://isu.ifmo.ru/pls/apex/f?p=2143:PERSON:104550057455727::NO:RP:PID:465228" TargetMode="External"/><Relationship Id="rId29" Type="http://schemas.openxmlformats.org/officeDocument/2006/relationships/hyperlink" Target="https://isu.ifmo.ru/pls/apex/f?p=2143:PERSON:104550057455727::NO:RP:PID:465235" TargetMode="External"/><Relationship Id="rId30" Type="http://schemas.openxmlformats.org/officeDocument/2006/relationships/hyperlink" Target="https://isu.ifmo.ru/pls/apex/f?p=2143:PERSON:100554432904982::NO:RP:PID:465241" TargetMode="External"/><Relationship Id="rId31" Type="http://schemas.openxmlformats.org/officeDocument/2006/relationships/hyperlink" Target="https://isu.ifmo.ru/pls/apex/f?p=2143:PERSON:104550057455727::NO:RP:PID:465244" TargetMode="External"/><Relationship Id="rId32" Type="http://schemas.openxmlformats.org/officeDocument/2006/relationships/hyperlink" Target="https://isu.ifmo.ru/pls/apex/f?p=2143:PERSON:100554432904982::NO:RP:PID:465259" TargetMode="External"/><Relationship Id="rId33" Type="http://schemas.openxmlformats.org/officeDocument/2006/relationships/hyperlink" Target="https://isu.ifmo.ru/pls/apex/f?p=2143:PERSON:104550057455727::NO:RP:PID:474254" TargetMode="External"/><Relationship Id="rId34" Type="http://schemas.openxmlformats.org/officeDocument/2006/relationships/hyperlink" Target="https://isu.ifmo.ru/pls/apex/f?p=2143:PERSON:100554432904982::NO:RP:PID:465280" TargetMode="External"/><Relationship Id="rId35" Type="http://schemas.openxmlformats.org/officeDocument/2006/relationships/hyperlink" Target="https://isu.ifmo.ru/pls/apex/f?p=2143:PERSON:104550057455727::NO:RP:PID:465294" TargetMode="External"/><Relationship Id="rId36" Type="http://schemas.openxmlformats.org/officeDocument/2006/relationships/hyperlink" Target="https://isu.ifmo.ru/pls/apex/f?p=2143:PERSON:100554432904982::NO:RP:PID:465303" TargetMode="External"/><Relationship Id="rId37" Type="http://schemas.openxmlformats.org/officeDocument/2006/relationships/hyperlink" Target="https://isu.ifmo.ru/pls/apex/f?p=2143:PERSON:104550057455727::NO:RP:PID:471783" TargetMode="External"/><Relationship Id="rId38" Type="http://schemas.openxmlformats.org/officeDocument/2006/relationships/hyperlink" Target="https://isu.ifmo.ru/pls/apex/f?p=2143:PERSON:100554432904982::NO:RP:PID:431831" TargetMode="External"/><Relationship Id="rId39" Type="http://schemas.openxmlformats.org/officeDocument/2006/relationships/hyperlink" Target="https://isu.ifmo.ru/pls/apex/f?p=2143:PERSON:104550057455727::NO:RP:PID:365209" TargetMode="External"/><Relationship Id="rId40" Type="http://schemas.openxmlformats.org/officeDocument/2006/relationships/hyperlink" Target="https://isu.ifmo.ru/pls/apex/f?p=2143:PERSON:104550057455727::NO:RP:PID:465346" TargetMode="External"/><Relationship Id="rId41" Type="http://schemas.openxmlformats.org/officeDocument/2006/relationships/hyperlink" Target="https://isu.ifmo.ru/pls/apex/f?p=2143:PERSON:104550057455727::NO:RP:PID:465355" TargetMode="External"/><Relationship Id="rId42" Type="http://schemas.openxmlformats.org/officeDocument/2006/relationships/hyperlink" Target="https://isu.ifmo.ru/pls/apex/f?p=2143:PERSON:104550057455727::NO:RP:PID:471800" TargetMode="External"/><Relationship Id="rId43" Type="http://schemas.openxmlformats.org/officeDocument/2006/relationships/hyperlink" Target="https://isu.ifmo.ru/pls/apex/f?p=2143:PERSON:104550057455727::NO:RP:PID:465382" TargetMode="External"/><Relationship Id="rId44" Type="http://schemas.openxmlformats.org/officeDocument/2006/relationships/hyperlink" Target="https://isu.ifmo.ru/pls/apex/f?p=2143:PERSON:104550057455727::NO:RP:PID:372854" TargetMode="External"/><Relationship Id="rId45" Type="http://schemas.openxmlformats.org/officeDocument/2006/relationships/hyperlink" Target="https://isu.ifmo.ru/pls/apex/f?p=2143:PERSON:104550057455727::NO:RP:PID:463219" TargetMode="External"/><Relationship Id="rId46" Type="http://schemas.openxmlformats.org/officeDocument/2006/relationships/hyperlink" Target="https://isu.ifmo.ru/pls/apex/f?p=2143:PERSON:104550057455727::NO:RP:PID:465439" TargetMode="External"/><Relationship Id="rId47" Type="http://schemas.openxmlformats.org/officeDocument/2006/relationships/hyperlink" Target="https://isu.ifmo.ru/pls/apex/f?p=2143:PERSON:104550057455727::NO:RP:PID:441010" TargetMode="External"/><Relationship Id="rId48" Type="http://schemas.openxmlformats.org/officeDocument/2006/relationships/hyperlink" Target="https://isu.ifmo.ru/pls/apex/f?p=2143:PERSON:104550057455727::NO:RP:PID:465457" TargetMode="External"/><Relationship Id="rId49" Type="http://schemas.openxmlformats.org/officeDocument/2006/relationships/hyperlink" Target="https://isu.ifmo.ru/pls/apex/f?p=2143:PERSON:104550057455727::NO:RP:PID:465479" TargetMode="External"/><Relationship Id="rId50" Type="http://schemas.openxmlformats.org/officeDocument/2006/relationships/hyperlink" Target="https://isu.ifmo.ru/pls/apex/f?p=2143:PERSON:104550057455727::NO:RP:PID:465486" TargetMode="External"/><Relationship Id="rId51" Type="http://schemas.openxmlformats.org/officeDocument/2006/relationships/hyperlink" Target="https://isu.ifmo.ru/pls/apex/f?p=2143:PERSON:104550057455727::NO:RP:PID:465487" TargetMode="External"/><Relationship Id="rId52" Type="http://schemas.openxmlformats.org/officeDocument/2006/relationships/hyperlink" Target="https://isu.ifmo.ru/pls/apex/f?p=2143:PERSON:100554432904982::NO:RP:PID:408417" TargetMode="External"/><Relationship Id="rId53" Type="http://schemas.openxmlformats.org/officeDocument/2006/relationships/hyperlink" Target="https://isu.ifmo.ru/pls/apex/f?p=2143:PERSON:104550057455727::NO:RP:PID:471835" TargetMode="External"/><Relationship Id="rId54" Type="http://schemas.openxmlformats.org/officeDocument/2006/relationships/hyperlink" Target="https://isu.ifmo.ru/pls/apex/f?p=2143:PERSON:104550057455727::NO:RP:PID:465527" TargetMode="External"/><Relationship Id="rId55" Type="http://schemas.openxmlformats.org/officeDocument/2006/relationships/hyperlink" Target="https://isu.ifmo.ru/pls/apex/f?p=2143:PERSON:100554432904982::NO:RP:PID:471842" TargetMode="External"/><Relationship Id="rId56" Type="http://schemas.openxmlformats.org/officeDocument/2006/relationships/hyperlink" Target="https://isu.ifmo.ru/pls/apex/f?p=2143:PERSON:104550057455727::NO:RP:PID:465544" TargetMode="External"/><Relationship Id="rId57" Type="http://schemas.openxmlformats.org/officeDocument/2006/relationships/hyperlink" Target="https://isu.ifmo.ru/pls/apex/f?p=2143:PERSON:104550057455727::NO:RP:PID:471844" TargetMode="External"/><Relationship Id="rId58" Type="http://schemas.openxmlformats.org/officeDocument/2006/relationships/hyperlink" Target="https://isu.ifmo.ru/pls/apex/f?p=2143:PERSON:104550057455727::NO:RP:PID:465555" TargetMode="External"/><Relationship Id="rId59" Type="http://schemas.openxmlformats.org/officeDocument/2006/relationships/hyperlink" Target="https://isu.ifmo.ru/pls/apex/f?p=2143:PERSON:100554432904982::NO:RP:PID:465561" TargetMode="External"/><Relationship Id="rId60" Type="http://schemas.openxmlformats.org/officeDocument/2006/relationships/hyperlink" Target="https://isu.ifmo.ru/pls/apex/f?p=2143:PERSON:100554432904982::NO:RP:PID:465567" TargetMode="External"/><Relationship Id="rId61" Type="http://schemas.openxmlformats.org/officeDocument/2006/relationships/hyperlink" Target="https://isu.ifmo.ru/pls/apex/f?p=2143:PERSON:100554432904982::NO:RP:PID:471848" TargetMode="External"/><Relationship Id="rId62" Type="http://schemas.openxmlformats.org/officeDocument/2006/relationships/hyperlink" Target="https://isu.ifmo.ru/pls/apex/f?p=2143:PERSON:100554432904982::NO:RP:PID:465591" TargetMode="External"/><Relationship Id="rId63" Type="http://schemas.openxmlformats.org/officeDocument/2006/relationships/hyperlink" Target="https://isu.ifmo.ru/pls/apex/f?p=2143:PERSON:100554432904982::NO:RP:PID:465592" TargetMode="External"/><Relationship Id="rId64" Type="http://schemas.openxmlformats.org/officeDocument/2006/relationships/hyperlink" Target="https://isu.ifmo.ru/pls/apex/f?p=2143:PERSON:104550057455727::NO:RP:PID:465601" TargetMode="External"/><Relationship Id="rId65" Type="http://schemas.openxmlformats.org/officeDocument/2006/relationships/hyperlink" Target="https://isu.ifmo.ru/pls/apex/f?p=2143:PERSON:100554432904982::NO:RP:PID:465602" TargetMode="External"/><Relationship Id="rId66" Type="http://schemas.openxmlformats.org/officeDocument/2006/relationships/hyperlink" Target="https://isu.ifmo.ru/pls/apex/f?p=2143:PERSON:100554432904982::NO:RP:PID:471855" TargetMode="External"/><Relationship Id="rId67" Type="http://schemas.openxmlformats.org/officeDocument/2006/relationships/hyperlink" Target="https://isu.ifmo.ru/pls/apex/f?p=2143:PERSON:104550057455727::NO:RP:PID:465635" TargetMode="External"/><Relationship Id="rId68" Type="http://schemas.openxmlformats.org/officeDocument/2006/relationships/hyperlink" Target="https://isu.ifmo.ru/pls/apex/f?p=2143:PERSON:100554432904982::NO:RP:PID:465657" TargetMode="External"/><Relationship Id="rId69" Type="http://schemas.openxmlformats.org/officeDocument/2006/relationships/hyperlink" Target="https://isu.ifmo.ru/pls/apex/f?p=2143:PERSON:104550057455727::NO:RP:PID:435169" TargetMode="External"/><Relationship Id="rId70" Type="http://schemas.openxmlformats.org/officeDocument/2006/relationships/hyperlink" Target="https://isu.ifmo.ru/pls/apex/f?p=2143:PERSON:104550057455727::NO:RP:PID:465676" TargetMode="External"/><Relationship Id="rId71" Type="http://schemas.openxmlformats.org/officeDocument/2006/relationships/hyperlink" Target="https://isu.ifmo.ru/pls/apex/f?p=2143:PERSON:104550057455727::NO:RP:PID:471872" TargetMode="External"/><Relationship Id="rId72" Type="http://schemas.openxmlformats.org/officeDocument/2006/relationships/hyperlink" Target="https://isu.ifmo.ru/pls/apex/f?p=2143:PERSON:104550057455727::NO:RP:PID:465716" TargetMode="External"/><Relationship Id="rId73" Type="http://schemas.openxmlformats.org/officeDocument/2006/relationships/hyperlink" Target="https://isu.ifmo.ru/pls/apex/f?p=2143:PERSON:100554432904982::NO:RP:PID:465722" TargetMode="External"/><Relationship Id="rId74" Type="http://schemas.openxmlformats.org/officeDocument/2006/relationships/hyperlink" Target="https://isu.ifmo.ru/pls/apex/f?p=2143:PERSON:100554432904982::NO:RP:PID:465727" TargetMode="External"/><Relationship Id="rId75" Type="http://schemas.openxmlformats.org/officeDocument/2006/relationships/hyperlink" Target="https://isu.ifmo.ru/pls/apex/f?p=2143:PERSON:104550057455727::NO:RP:PID:465729" TargetMode="External"/><Relationship Id="rId76" Type="http://schemas.openxmlformats.org/officeDocument/2006/relationships/hyperlink" Target="https://isu.ifmo.ru/pls/apex/f?p=2143:PERSON:104550057455727::NO:RP:PID:465745" TargetMode="External"/><Relationship Id="rId77" Type="http://schemas.openxmlformats.org/officeDocument/2006/relationships/hyperlink" Target="https://isu.ifmo.ru/pls/apex/f?p=2143:PERSON:100554432904982::NO:RP:PID:465746" TargetMode="External"/><Relationship Id="rId78" Type="http://schemas.openxmlformats.org/officeDocument/2006/relationships/hyperlink" Target="https://isu.ifmo.ru/pls/apex/f?p=2143:PERSON:100554432904982::NO:RP:PID:465755" TargetMode="External"/><Relationship Id="rId79" Type="http://schemas.openxmlformats.org/officeDocument/2006/relationships/hyperlink" Target="https://isu.ifmo.ru/pls/apex/f?p=2143:PERSON:104550057455727::NO:RP:PID:465757" TargetMode="External"/><Relationship Id="rId80" Type="http://schemas.openxmlformats.org/officeDocument/2006/relationships/hyperlink" Target="https://isu.ifmo.ru/pls/apex/f?p=2143:PERSON:100554432904982::NO:RP:PID:408023" TargetMode="External"/><Relationship Id="rId81" Type="http://schemas.openxmlformats.org/officeDocument/2006/relationships/hyperlink" Target="https://isu.ifmo.ru/pls/apex/f?p=2143:PERSON:111026182635611::NO:RP:PID:407868" TargetMode="External"/><Relationship Id="rId82" Type="http://schemas.openxmlformats.org/officeDocument/2006/relationships/hyperlink" Target="https://isu.ifmo.ru/pls/apex/f?p=2143:PERSON:104550057455727::NO:RP:PID:471890" TargetMode="External"/><Relationship Id="rId83" Type="http://schemas.openxmlformats.org/officeDocument/2006/relationships/hyperlink" Target="https://isu.ifmo.ru/pls/apex/f?p=2143:PERSON:104550057455727::NO:RP:PID:465774" TargetMode="External"/><Relationship Id="rId84" Type="http://schemas.openxmlformats.org/officeDocument/2006/relationships/hyperlink" Target="https://isu.ifmo.ru/pls/apex/f?p=2143:PERSON:104550057455727::NO:RP:PID:474277" TargetMode="External"/><Relationship Id="rId85" Type="http://schemas.openxmlformats.org/officeDocument/2006/relationships/hyperlink" Target="https://isu.ifmo.ru/pls/apex/f?p=2143:PERSON:104550057455727::NO:RP:PID:465798" TargetMode="External"/><Relationship Id="rId86" Type="http://schemas.openxmlformats.org/officeDocument/2006/relationships/hyperlink" Target="https://isu.ifmo.ru/pls/apex/f?p=2143:PERSON:104550057455727::NO:RP:PID:465808" TargetMode="External"/><Relationship Id="rId87" Type="http://schemas.openxmlformats.org/officeDocument/2006/relationships/hyperlink" Target="https://isu.ifmo.ru/pls/apex/f?p=2143:PERSON:104550057455727::NO:RP:PID:465824" TargetMode="External"/><Relationship Id="rId88" Type="http://schemas.openxmlformats.org/officeDocument/2006/relationships/hyperlink" Target="https://isu.ifmo.ru/pls/apex/f?p=2143:PERSON:100554432904982::NO:RP:PID:465826" TargetMode="External"/><Relationship Id="rId89" Type="http://schemas.openxmlformats.org/officeDocument/2006/relationships/hyperlink" Target="https://isu.ifmo.ru/pls/apex/f?p=2143:PERSON:104550057455727::NO:RP:PID:471917" TargetMode="External"/><Relationship Id="rId90" Type="http://schemas.openxmlformats.org/officeDocument/2006/relationships/hyperlink" Target="https://isu.ifmo.ru/pls/apex/f?p=2143:PERSON:104550057455727::NO:RP:PID:414549" TargetMode="External"/><Relationship Id="rId91" Type="http://schemas.openxmlformats.org/officeDocument/2006/relationships/hyperlink" Target="https://isu.ifmo.ru/pls/apex/f?p=2143:PERSON:104550057455727::NO:RP:PID:412940" TargetMode="External"/><Relationship Id="rId92" Type="http://schemas.openxmlformats.org/officeDocument/2006/relationships/hyperlink" Target="https://isu.ifmo.ru/pls/apex/f?p=2143:PERSON:100554432904982::NO:RP:PID:465870" TargetMode="External"/><Relationship Id="rId93" Type="http://schemas.openxmlformats.org/officeDocument/2006/relationships/hyperlink" Target="https://isu.ifmo.ru/pls/apex/f?p=2143:PERSON:104550057455727::NO:RP:PID:465871" TargetMode="External"/><Relationship Id="rId94" Type="http://schemas.openxmlformats.org/officeDocument/2006/relationships/hyperlink" Target="https://isu.ifmo.ru/pls/apex/f?p=2143:PERSON:104550057455727::NO:RP:PID:465879" TargetMode="External"/><Relationship Id="rId95" Type="http://schemas.openxmlformats.org/officeDocument/2006/relationships/hyperlink" Target="https://isu.ifmo.ru/pls/apex/f?p=2143:PERSON:104550057455727::NO:RP:PID:465883" TargetMode="External"/><Relationship Id="rId96" Type="http://schemas.openxmlformats.org/officeDocument/2006/relationships/hyperlink" Target="https://isu.ifmo.ru/pls/apex/f?p=2143:PERSON:104550057455727::NO:RP:PID:465887" TargetMode="External"/><Relationship Id="rId97" Type="http://schemas.openxmlformats.org/officeDocument/2006/relationships/hyperlink" Target="https://isu.ifmo.ru/pls/apex/f?p=2143:PERSON:100554432904982::NO:RP:PID:381731" TargetMode="External"/><Relationship Id="rId98" Type="http://schemas.openxmlformats.org/officeDocument/2006/relationships/hyperlink" Target="https://isu.ifmo.ru/pls/apex/f?p=2143:PERSON:104550057455727::NO:RP:PID:465903" TargetMode="External"/><Relationship Id="rId99" Type="http://schemas.openxmlformats.org/officeDocument/2006/relationships/hyperlink" Target="https://isu.ifmo.ru/pls/apex/f?p=2143:PERSON:100554432904982::NO:RP:PID:465917" TargetMode="External"/><Relationship Id="rId100" Type="http://schemas.openxmlformats.org/officeDocument/2006/relationships/hyperlink" Target="https://isu.ifmo.ru/pls/apex/f?p=2143:PERSON:104550057455727::NO:RP:PID:465929" TargetMode="External"/><Relationship Id="rId101" Type="http://schemas.openxmlformats.org/officeDocument/2006/relationships/hyperlink" Target="https://isu.ifmo.ru/pls/apex/f?p=2143:PERSON:104550057455727::NO:RP:PID:465945" TargetMode="External"/><Relationship Id="rId102" Type="http://schemas.openxmlformats.org/officeDocument/2006/relationships/hyperlink" Target="https://isu.ifmo.ru/pls/apex/f?p=2143:PERSON:100554432904982::NO:RP:PID:465951" TargetMode="External"/><Relationship Id="rId103" Type="http://schemas.openxmlformats.org/officeDocument/2006/relationships/hyperlink" Target="https://isu.ifmo.ru/pls/apex/f?p=2143:PERSON:100554432904982::NO:RP:PID:465967" TargetMode="External"/><Relationship Id="rId104" Type="http://schemas.openxmlformats.org/officeDocument/2006/relationships/hyperlink" Target="https://isu.ifmo.ru/pls/apex/f?p=2143:PERSON:104550057455727::NO:RP:PID:465983" TargetMode="External"/><Relationship Id="rId105" Type="http://schemas.openxmlformats.org/officeDocument/2006/relationships/hyperlink" Target="https://isu.ifmo.ru/pls/apex/f?p=2143:PERSON:100554432904982::NO:RP:PID:465987" TargetMode="External"/><Relationship Id="rId106" Type="http://schemas.openxmlformats.org/officeDocument/2006/relationships/hyperlink" Target="https://isu.ifmo.ru/pls/apex/f?p=2143:PERSON:104550057455727::NO:RP:PID:465993" TargetMode="External"/><Relationship Id="rId107" Type="http://schemas.openxmlformats.org/officeDocument/2006/relationships/hyperlink" Target="https://isu.ifmo.ru/pls/apex/f?p=2143:PERSON:104550057455727::NO:RP:PID:463221" TargetMode="External"/><Relationship Id="rId108" Type="http://schemas.openxmlformats.org/officeDocument/2006/relationships/hyperlink" Target="https://isu.ifmo.ru/pls/apex/f?p=2143:PERSON:100554432904982::NO:RP:PID:406492" TargetMode="External"/><Relationship Id="rId109" Type="http://schemas.openxmlformats.org/officeDocument/2006/relationships/hyperlink" Target="https://isu.ifmo.ru/pls/apex/f?p=2143:PERSON:100554432904982::NO:RP:PID:466042" TargetMode="External"/><Relationship Id="rId110" Type="http://schemas.openxmlformats.org/officeDocument/2006/relationships/hyperlink" Target="https://isu.ifmo.ru/pls/apex/f?p=2143:PERSON:104550057455727::NO:RP:PID:466049" TargetMode="External"/><Relationship Id="rId111" Type="http://schemas.openxmlformats.org/officeDocument/2006/relationships/hyperlink" Target="https://isu.ifmo.ru/pls/apex/f?p=2143:PERSON:109320825443221::NO:RP:PID:407796" TargetMode="External"/><Relationship Id="rId112" Type="http://schemas.openxmlformats.org/officeDocument/2006/relationships/hyperlink" Target="https://isu.ifmo.ru/pls/apex/f?p=2143:PERSON:100554432904982::NO:RP:PID:407795" TargetMode="External"/><Relationship Id="rId113" Type="http://schemas.openxmlformats.org/officeDocument/2006/relationships/hyperlink" Target="https://isu.ifmo.ru/pls/apex/f?p=2143:PERSON:104550057455727::NO:RP:PID:343054" TargetMode="External"/><Relationship Id="rId114" Type="http://schemas.openxmlformats.org/officeDocument/2006/relationships/hyperlink" Target="https://isu.ifmo.ru/pls/apex/f?p=2143:PERSON:104550057455727::NO:RP:PID:466072" TargetMode="External"/><Relationship Id="rId115" Type="http://schemas.openxmlformats.org/officeDocument/2006/relationships/hyperlink" Target="https://isu.ifmo.ru/pls/apex/f?p=2143:PERSON:104550057455727::NO:RP:PID:466080" TargetMode="External"/><Relationship Id="rId116" Type="http://schemas.openxmlformats.org/officeDocument/2006/relationships/hyperlink" Target="https://isu.ifmo.ru/pls/apex/f?p=2143:PERSON:104550057455727::NO:RP:PID:466082" TargetMode="External"/><Relationship Id="rId117" Type="http://schemas.openxmlformats.org/officeDocument/2006/relationships/hyperlink" Target="https://isu.ifmo.ru/pls/apex/f?p=2143:PERSON:100554432904982::NO:RP:PID:466084" TargetMode="External"/><Relationship Id="rId118" Type="http://schemas.openxmlformats.org/officeDocument/2006/relationships/hyperlink" Target="https://isu.ifmo.ru/pls/apex/f?p=2143:PERSON:104550057455727::NO:RP:PID:466088" TargetMode="External"/><Relationship Id="rId119" Type="http://schemas.openxmlformats.org/officeDocument/2006/relationships/hyperlink" Target="https://isu.ifmo.ru/pls/apex/f?p=2143:PERSON:104550057455727::NO:RP:PID:466103" TargetMode="External"/><Relationship Id="rId120" Type="http://schemas.openxmlformats.org/officeDocument/2006/relationships/hyperlink" Target="https://isu.ifmo.ru/pls/apex/f?p=2143:PERSON:104550057455727::NO:RP:PID:466113" TargetMode="External"/><Relationship Id="rId121" Type="http://schemas.openxmlformats.org/officeDocument/2006/relationships/hyperlink" Target="https://isu.ifmo.ru/pls/apex/f?p=2143:PERSON:100554432904982::NO:RP:PID:466114" TargetMode="External"/><Relationship Id="rId122" Type="http://schemas.openxmlformats.org/officeDocument/2006/relationships/hyperlink" Target="https://isu.ifmo.ru/pls/apex/f?p=2143:PERSON:104550057455727::NO:RP:PID:466127" TargetMode="External"/><Relationship Id="rId123" Type="http://schemas.openxmlformats.org/officeDocument/2006/relationships/hyperlink" Target="https://isu.ifmo.ru/pls/apex/f?p=2143:PERSON:104550057455727::NO:RP:PID:466137" TargetMode="External"/><Relationship Id="rId124" Type="http://schemas.openxmlformats.org/officeDocument/2006/relationships/hyperlink" Target="https://isu.ifmo.ru/pls/apex/f?p=2143:PERSON:104550057455727::NO:RP:PID:466138" TargetMode="External"/><Relationship Id="rId125" Type="http://schemas.openxmlformats.org/officeDocument/2006/relationships/hyperlink" Target="https://isu.ifmo.ru/pls/apex/f?p=2143:PERSON:100554432904982::NO:RP:PID:466140" TargetMode="External"/><Relationship Id="rId126" Type="http://schemas.openxmlformats.org/officeDocument/2006/relationships/hyperlink" Target="https://isu.ifmo.ru/pls/apex/f?p=2143:PERSON:104550057455727::NO:RP:PID:466150" TargetMode="External"/><Relationship Id="rId127" Type="http://schemas.openxmlformats.org/officeDocument/2006/relationships/hyperlink" Target="https://isu.ifmo.ru/pls/apex/f?p=2143:PERSON:100554432904982::NO:RP:PID:466177" TargetMode="External"/><Relationship Id="rId128" Type="http://schemas.openxmlformats.org/officeDocument/2006/relationships/hyperlink" Target="https://isu.ifmo.ru/pls/apex/f?p=2143:PERSON:104550057455727::NO:RP:PID:466179" TargetMode="External"/><Relationship Id="rId129" Type="http://schemas.openxmlformats.org/officeDocument/2006/relationships/hyperlink" Target="https://isu.ifmo.ru/pls/apex/f?p=2143:PERSON:104550057455727::NO:RP:PID:474305" TargetMode="External"/><Relationship Id="rId130" Type="http://schemas.openxmlformats.org/officeDocument/2006/relationships/hyperlink" Target="https://isu.ifmo.ru/pls/apex/f?p=2143:PERSON:100554432904982::NO:RP:PID:466197" TargetMode="External"/><Relationship Id="rId131" Type="http://schemas.openxmlformats.org/officeDocument/2006/relationships/hyperlink" Target="https://isu.ifmo.ru/pls/apex/f?p=2143:PERSON:100554432904982::NO:RP:PID:466200" TargetMode="External"/><Relationship Id="rId132" Type="http://schemas.openxmlformats.org/officeDocument/2006/relationships/hyperlink" Target="https://isu.ifmo.ru/pls/apex/f?p=2143:PERSON:104550057455727::NO:RP:PID:466207" TargetMode="External"/><Relationship Id="rId133" Type="http://schemas.openxmlformats.org/officeDocument/2006/relationships/hyperlink" Target="https://isu.ifmo.ru/pls/apex/f?p=2143:PERSON:104550057455727::NO:RP:PID:466217" TargetMode="External"/><Relationship Id="rId134" Type="http://schemas.openxmlformats.org/officeDocument/2006/relationships/hyperlink" Target="https://isu.ifmo.ru/pls/apex/f?p=2143:PERSON:100554432904982::NO:RP:PID:408809" TargetMode="External"/><Relationship Id="rId135" Type="http://schemas.openxmlformats.org/officeDocument/2006/relationships/hyperlink" Target="https://isu.ifmo.ru/pls/apex/f?p=2143:PERSON:104550057455727::NO:RP:PID:466221" TargetMode="External"/><Relationship Id="rId136" Type="http://schemas.openxmlformats.org/officeDocument/2006/relationships/hyperlink" Target="https://isu.ifmo.ru/pls/apex/f?p=2143:PERSON:104550057455727::NO:RP:PID:466272" TargetMode="External"/><Relationship Id="rId137" Type="http://schemas.openxmlformats.org/officeDocument/2006/relationships/hyperlink" Target="https://isu.ifmo.ru/pls/apex/f?p=2143:PERSON:100554432904982::NO:RP:PID:466273" TargetMode="External"/><Relationship Id="rId138" Type="http://schemas.openxmlformats.org/officeDocument/2006/relationships/hyperlink" Target="https://isu.ifmo.ru/pls/apex/f?p=2143:PERSON:104550057455727::NO:RP:PID:466279" TargetMode="External"/><Relationship Id="rId139" Type="http://schemas.openxmlformats.org/officeDocument/2006/relationships/hyperlink" Target="https://isu.ifmo.ru/pls/apex/f?p=2143:PERSON:104550057455727::NO:RP:PID:466280" TargetMode="External"/><Relationship Id="rId140" Type="http://schemas.openxmlformats.org/officeDocument/2006/relationships/hyperlink" Target="https://isu.ifmo.ru/pls/apex/f?p=2143:PERSON:104550057455727::NO:RP:PID:466287" TargetMode="External"/><Relationship Id="rId141" Type="http://schemas.openxmlformats.org/officeDocument/2006/relationships/hyperlink" Target="https://isu.ifmo.ru/pls/apex/f?p=2143:PERSON:100554432904982::NO:RP:PID:466298" TargetMode="External"/><Relationship Id="rId142" Type="http://schemas.openxmlformats.org/officeDocument/2006/relationships/hyperlink" Target="https://isu.ifmo.ru/pls/apex/f?p=2143:PERSON:100554432904982::NO:RP:PID:466300" TargetMode="External"/><Relationship Id="rId143" Type="http://schemas.openxmlformats.org/officeDocument/2006/relationships/hyperlink" Target="https://isu.ifmo.ru/pls/apex/f?p=2143:PERSON:104550057455727::NO:RP:PID:466309" TargetMode="External"/><Relationship Id="rId144" Type="http://schemas.openxmlformats.org/officeDocument/2006/relationships/hyperlink" Target="https://isu.ifmo.ru/pls/apex/f?p=2143:PERSON:104550057455727::NO:RP:PID:466310" TargetMode="External"/><Relationship Id="rId145" Type="http://schemas.openxmlformats.org/officeDocument/2006/relationships/hyperlink" Target="https://isu.ifmo.ru/pls/apex/f?p=2143:PERSON:104550057455727::NO:RP:PID:466316" TargetMode="External"/><Relationship Id="rId146" Type="http://schemas.openxmlformats.org/officeDocument/2006/relationships/hyperlink" Target="https://isu.ifmo.ru/pls/apex/f?p=2143:PERSON:104550057455727::NO:RP:PID:466329" TargetMode="External"/><Relationship Id="rId147" Type="http://schemas.openxmlformats.org/officeDocument/2006/relationships/hyperlink" Target="https://isu.ifmo.ru/pls/apex/f?p=2143:PERSON:100554432904982::NO:RP:PID:472094" TargetMode="External"/><Relationship Id="rId148" Type="http://schemas.openxmlformats.org/officeDocument/2006/relationships/hyperlink" Target="https://isu.ifmo.ru/pls/apex/f?p=2143:PERSON:104550057455727::NO:RP:PID:466339" TargetMode="External"/><Relationship Id="rId149" Type="http://schemas.openxmlformats.org/officeDocument/2006/relationships/hyperlink" Target="https://isu.ifmo.ru/pls/apex/f?p=2143:PERSON:104550057455727::NO:RP:PID:466342" TargetMode="External"/><Relationship Id="rId150" Type="http://schemas.openxmlformats.org/officeDocument/2006/relationships/hyperlink" Target="https://isu.ifmo.ru/pls/apex/f?p=2143:PERSON:100554432904982::NO:RP:PID:466363" TargetMode="External"/><Relationship Id="rId151" Type="http://schemas.openxmlformats.org/officeDocument/2006/relationships/hyperlink" Target="https://isu.ifmo.ru/pls/apex/f?p=2143:PERSON:104550057455727::NO:RP:PID:452772" TargetMode="External"/><Relationship Id="rId152" Type="http://schemas.openxmlformats.org/officeDocument/2006/relationships/hyperlink" Target="https://isu.ifmo.ru/pls/apex/f?p=2143:PERSON:104550057455727::NO:RP:PID:466364" TargetMode="External"/><Relationship Id="rId153" Type="http://schemas.openxmlformats.org/officeDocument/2006/relationships/hyperlink" Target="https://isu.ifmo.ru/pls/apex/f?p=2143:PERSON:100554432904982::NO:RP:PID:466369" TargetMode="External"/><Relationship Id="rId154" Type="http://schemas.openxmlformats.org/officeDocument/2006/relationships/hyperlink" Target="https://isu.ifmo.ru/pls/apex/f?p=2143:PERSON:116372496308723::NO:RP:PID:411640" TargetMode="External"/><Relationship Id="rId155" Type="http://schemas.openxmlformats.org/officeDocument/2006/relationships/hyperlink" Target="https://isu.ifmo.ru/pls/apex/f?p=2143:PERSON:104550057455727::NO:RP:PID:466376" TargetMode="External"/><Relationship Id="rId156" Type="http://schemas.openxmlformats.org/officeDocument/2006/relationships/hyperlink" Target="https://isu.ifmo.ru/pls/apex/f?p=2143:PERSON:104550057455727::NO:RP:PID:466380" TargetMode="External"/><Relationship Id="rId157" Type="http://schemas.openxmlformats.org/officeDocument/2006/relationships/hyperlink" Target="https://isu.ifmo.ru/pls/apex/f?p=2143:PERSON:106520618380949::NO:RP:PID:408931" TargetMode="External"/><Relationship Id="rId158" Type="http://schemas.openxmlformats.org/officeDocument/2006/relationships/hyperlink" Target="https://isu.ifmo.ru/pls/apex/f?p=2143:PERSON:104550057455727::NO:RP:PID:466385" TargetMode="External"/><Relationship Id="rId159" Type="http://schemas.openxmlformats.org/officeDocument/2006/relationships/hyperlink" Target="https://isu.ifmo.ru/pls/apex/f?p=2143:PERSON:104550057455727::NO:RP:PID:466386" TargetMode="External"/><Relationship Id="rId160" Type="http://schemas.openxmlformats.org/officeDocument/2006/relationships/hyperlink" Target="https://isu.ifmo.ru/pls/apex/f?p=2143:PERSON:104550057455727::NO:RP:PID:466391" TargetMode="External"/><Relationship Id="rId161" Type="http://schemas.openxmlformats.org/officeDocument/2006/relationships/hyperlink" Target="https://isu.ifmo.ru/pls/apex/f?p=2143:PERSON:104550057455727::NO:RP:PID:466398" TargetMode="External"/><Relationship Id="rId162" Type="http://schemas.openxmlformats.org/officeDocument/2006/relationships/hyperlink" Target="https://isu.ifmo.ru/pls/apex/f?p=2143:PERSON:104550057455727::NO:RP:PID:466402" TargetMode="External"/><Relationship Id="rId163" Type="http://schemas.openxmlformats.org/officeDocument/2006/relationships/hyperlink" Target="https://isu.ifmo.ru/pls/apex/f?p=2143:PERSON:104550057455727::NO:RP:PID:466423" TargetMode="External"/><Relationship Id="rId164" Type="http://schemas.openxmlformats.org/officeDocument/2006/relationships/hyperlink" Target="https://isu.ifmo.ru/pls/apex/f?p=2143:PERSON:115546012374701::NO:RP:PID:412989" TargetMode="External"/><Relationship Id="rId165" Type="http://schemas.openxmlformats.org/officeDocument/2006/relationships/hyperlink" Target="https://isu.ifmo.ru/pls/apex/f?p=2143:PERSON:100554432904982::NO:RP:PID:466441" TargetMode="External"/><Relationship Id="rId166" Type="http://schemas.openxmlformats.org/officeDocument/2006/relationships/hyperlink" Target="https://isu.ifmo.ru/pls/apex/f?p=2143:PERSON:104550057455727::NO:RP:PID:466449" TargetMode="External"/><Relationship Id="rId167" Type="http://schemas.openxmlformats.org/officeDocument/2006/relationships/hyperlink" Target="https://isu.ifmo.ru/pls/apex/f?p=2143:PERSON:109320825443221::NO:RP:PID:407885" TargetMode="External"/><Relationship Id="rId168" Type="http://schemas.openxmlformats.org/officeDocument/2006/relationships/hyperlink" Target="https://isu.ifmo.ru/pls/apex/f?p=2143:PERSON:104550057455727::NO:RP:PID:466468" TargetMode="External"/><Relationship Id="rId169" Type="http://schemas.openxmlformats.org/officeDocument/2006/relationships/hyperlink" Target="https://isu.ifmo.ru/pls/apex/f?p=2143:PERSON:100554432904982::NO:RP:PID:466472" TargetMode="External"/><Relationship Id="rId170" Type="http://schemas.openxmlformats.org/officeDocument/2006/relationships/hyperlink" Target="https://isu.ifmo.ru/pls/apex/f?p=2143:PERSON:104550057455727::NO:RP:PID:466478" TargetMode="External"/><Relationship Id="rId171" Type="http://schemas.openxmlformats.org/officeDocument/2006/relationships/hyperlink" Target="https://isu.ifmo.ru/pls/apex/f?p=2143:PERSON:104550057455727::NO:RP:PID:466481" TargetMode="External"/><Relationship Id="rId172" Type="http://schemas.openxmlformats.org/officeDocument/2006/relationships/hyperlink" Target="https://isu.ifmo.ru/pls/apex/f?p=2143:PERSON:104550057455727::NO:RP:PID:466482" TargetMode="External"/><Relationship Id="rId173" Type="http://schemas.openxmlformats.org/officeDocument/2006/relationships/hyperlink" Target="https://isu.ifmo.ru/pls/apex/f?p=2143:PERSON:104550057455727::NO:RP:PID:466490" TargetMode="External"/><Relationship Id="rId174" Type="http://schemas.openxmlformats.org/officeDocument/2006/relationships/hyperlink" Target="https://isu.ifmo.ru/pls/apex/f?p=2143:PERSON:104550057455727::NO:RP:PID:472154" TargetMode="External"/><Relationship Id="rId175" Type="http://schemas.openxmlformats.org/officeDocument/2006/relationships/hyperlink" Target="https://isu.ifmo.ru/pls/apex/f?p=2143:PERSON:104585994938183::NO:RP:PID:367349" TargetMode="External"/><Relationship Id="rId176" Type="http://schemas.openxmlformats.org/officeDocument/2006/relationships/hyperlink" Target="https://isu.ifmo.ru/pls/apex/f?p=2143:PERSON:100554432904982::NO:RP:PID:466495" TargetMode="External"/><Relationship Id="rId177" Type="http://schemas.openxmlformats.org/officeDocument/2006/relationships/hyperlink" Target="https://isu.ifmo.ru/pls/apex/f?p=2143:PERSON:104550057455727::NO:RP:PID:466497" TargetMode="External"/><Relationship Id="rId178" Type="http://schemas.openxmlformats.org/officeDocument/2006/relationships/hyperlink" Target="https://isu.ifmo.ru/pls/apex/f?p=2143:PERSON:104550057455727::NO:RP:PID:472157" TargetMode="External"/><Relationship Id="rId179" Type="http://schemas.openxmlformats.org/officeDocument/2006/relationships/hyperlink" Target="https://isu.ifmo.ru/pls/apex/f?p=2143:PERSON:100554432904982::NO:RP:PID:472158" TargetMode="External"/><Relationship Id="rId180" Type="http://schemas.openxmlformats.org/officeDocument/2006/relationships/hyperlink" Target="https://isu.ifmo.ru/pls/apex/f?p=2143:PERSON:100554432904982::NO:RP:PID:466501" TargetMode="External"/><Relationship Id="rId181" Type="http://schemas.openxmlformats.org/officeDocument/2006/relationships/hyperlink" Target="https://isu.ifmo.ru/pls/apex/f?p=2143:PERSON:104550057455727::NO:RP:PID:466513" TargetMode="External"/><Relationship Id="rId182" Type="http://schemas.openxmlformats.org/officeDocument/2006/relationships/hyperlink" Target="https://isu.ifmo.ru/pls/apex/f?p=2143:PERSON:104550057455727::NO:RP:PID:475153" TargetMode="External"/><Relationship Id="rId183" Type="http://schemas.openxmlformats.org/officeDocument/2006/relationships/hyperlink" Target="https://isu.ifmo.ru/pls/apex/f?p=2143:PERSON:104550057455727::NO:RP:PID:466520" TargetMode="External"/><Relationship Id="rId184" Type="http://schemas.openxmlformats.org/officeDocument/2006/relationships/hyperlink" Target="https://isu.ifmo.ru/pls/apex/f?p=2143:PERSON:104550057455727::NO:RP:PID:466537" TargetMode="External"/><Relationship Id="rId185" Type="http://schemas.openxmlformats.org/officeDocument/2006/relationships/hyperlink" Target="https://isu.ifmo.ru/pls/apex/f?p=2143:PERSON:104550057455727::NO:RP:PID:472174" TargetMode="External"/><Relationship Id="rId186" Type="http://schemas.openxmlformats.org/officeDocument/2006/relationships/hyperlink" Target="https://isu.ifmo.ru/pls/apex/f?p=2143:PERSON:104550057455727::NO:RP:PID:466546" TargetMode="External"/><Relationship Id="rId187" Type="http://schemas.openxmlformats.org/officeDocument/2006/relationships/hyperlink" Target="https://isu.ifmo.ru/pls/apex/f?p=2143:PERSON:104550057455727::NO:RP:PID:466549" TargetMode="External"/><Relationship Id="rId188" Type="http://schemas.openxmlformats.org/officeDocument/2006/relationships/hyperlink" Target="https://isu.ifmo.ru/pls/apex/f?p=2143:PERSON:104550057455727::NO:RP:PID:466560" TargetMode="External"/><Relationship Id="rId189" Type="http://schemas.openxmlformats.org/officeDocument/2006/relationships/hyperlink" Target="https://isu.ifmo.ru/pls/apex/f?p=2143:PERSON:104550057455727::NO:RP:PID:472183" TargetMode="External"/><Relationship Id="rId190" Type="http://schemas.openxmlformats.org/officeDocument/2006/relationships/hyperlink" Target="https://isu.ifmo.ru/pls/apex/f?p=2143:PERSON:104550057455727::NO:RP:PID:472196" TargetMode="External"/><Relationship Id="rId191" Type="http://schemas.openxmlformats.org/officeDocument/2006/relationships/hyperlink" Target="https://isu.ifmo.ru/pls/apex/f?p=2143:PERSON:104550057455727::NO:RP:PID:466593" TargetMode="External"/><Relationship Id="rId192" Type="http://schemas.openxmlformats.org/officeDocument/2006/relationships/hyperlink" Target="https://isu.ifmo.ru/pls/apex/f?p=2143:PERSON:104550057455727::NO:RP:PID:466595" TargetMode="External"/><Relationship Id="rId193" Type="http://schemas.openxmlformats.org/officeDocument/2006/relationships/hyperlink" Target="https://isu.ifmo.ru/pls/apex/f?p=2143:PERSON:104550057455727::NO:RP:PID:472209" TargetMode="External"/><Relationship Id="rId194" Type="http://schemas.openxmlformats.org/officeDocument/2006/relationships/hyperlink" Target="https://isu.ifmo.ru/pls/apex/f?p=2143:PERSON:100554432904982::NO:RP:PID:434931" TargetMode="External"/><Relationship Id="rId195" Type="http://schemas.openxmlformats.org/officeDocument/2006/relationships/hyperlink" Target="https://isu.ifmo.ru/pls/apex/f?p=2143:PERSON:104550057455727::NO:RP:PID:466629" TargetMode="External"/><Relationship Id="rId196" Type="http://schemas.openxmlformats.org/officeDocument/2006/relationships/hyperlink" Target="https://isu.ifmo.ru/pls/apex/f?p=2143:PERSON:117376019145523::NO:RP:PID:409086" TargetMode="External"/><Relationship Id="rId197" Type="http://schemas.openxmlformats.org/officeDocument/2006/relationships/hyperlink" Target="https://isu.ifmo.ru/pls/apex/f?p=2143:PERSON:113720004812302::NO:RP:PID:373256" TargetMode="External"/><Relationship Id="rId198" Type="http://schemas.openxmlformats.org/officeDocument/2006/relationships/hyperlink" Target="https://isu.ifmo.ru/pls/apex/f?p=2143:PERSON:104550057455727::NO:RP:PID:466650" TargetMode="External"/><Relationship Id="rId199" Type="http://schemas.openxmlformats.org/officeDocument/2006/relationships/hyperlink" Target="https://isu.ifmo.ru/pls/apex/f?p=2143:PERSON:104550057455727::NO:RP:PID:466662" TargetMode="External"/><Relationship Id="rId200" Type="http://schemas.openxmlformats.org/officeDocument/2006/relationships/hyperlink" Target="https://isu.ifmo.ru/pls/apex/f?p=2143:PERSON:104550057455727::NO:RP:PID:466668" TargetMode="External"/><Relationship Id="rId201" Type="http://schemas.openxmlformats.org/officeDocument/2006/relationships/hyperlink" Target="https://isu.ifmo.ru/pls/apex/f?p=2143:PERSON:116372496308723::NO:RP:PID:408048" TargetMode="External"/><Relationship Id="rId202" Type="http://schemas.openxmlformats.org/officeDocument/2006/relationships/hyperlink" Target="https://isu.ifmo.ru/pls/apex/f?p=2143:PERSON:104550057455727::NO:RP:PID:466690" TargetMode="External"/><Relationship Id="rId203" Type="http://schemas.openxmlformats.org/officeDocument/2006/relationships/hyperlink" Target="https://isu.ifmo.ru/pls/apex/f?p=2143:PERSON:104550057455727::NO:RP:PID:335003" TargetMode="External"/><Relationship Id="rId204" Type="http://schemas.openxmlformats.org/officeDocument/2006/relationships/hyperlink" Target="https://isu.ifmo.ru/pls/apex/f?p=2143:PERSON:100554432904982::NO:RP:PID:466730" TargetMode="External"/><Relationship Id="rId205" Type="http://schemas.openxmlformats.org/officeDocument/2006/relationships/hyperlink" Target="https://isu.ifmo.ru/pls/apex/f?p=2143:PERSON:104550057455727::NO:RP:PID:409155" TargetMode="External"/><Relationship Id="rId206" Type="http://schemas.openxmlformats.org/officeDocument/2006/relationships/hyperlink" Target="https://isu.ifmo.ru/pls/apex/f?p=2143:PERSON:100554432904982::NO:RP:PID:374751" TargetMode="External"/><Relationship Id="rId207" Type="http://schemas.openxmlformats.org/officeDocument/2006/relationships/hyperlink" Target="https://isu.ifmo.ru/pls/apex/f?p=2143:PERSON:100554432904982::NO:RP:PID:466752" TargetMode="External"/><Relationship Id="rId208" Type="http://schemas.openxmlformats.org/officeDocument/2006/relationships/hyperlink" Target="https://isu.ifmo.ru/pls/apex/f?p=2143:PERSON:109320825443221::NO:RP:PID:407888" TargetMode="External"/><Relationship Id="rId209" Type="http://schemas.openxmlformats.org/officeDocument/2006/relationships/hyperlink" Target="https://isu.ifmo.ru/pls/apex/f?p=2143:PERSON:115900585681483::NO:RP:PID:407889" TargetMode="External"/><Relationship Id="rId210" Type="http://schemas.openxmlformats.org/officeDocument/2006/relationships/hyperlink" Target="https://isu.ifmo.ru/pls/apex/f?p=2143:PERSON:104550057455727::NO:RP:PID:466785" TargetMode="External"/><Relationship Id="rId211" Type="http://schemas.openxmlformats.org/officeDocument/2006/relationships/hyperlink" Target="https://isu.ifmo.ru/pls/apex/f?p=2143:PERSON:103104835290166::NO:RP:PID:409195" TargetMode="External"/><Relationship Id="rId212" Type="http://schemas.openxmlformats.org/officeDocument/2006/relationships/hyperlink" Target="https://isu.ifmo.ru/pls/apex/f?p=2143:PERSON:100554432904982::NO:RP:PID:375301" TargetMode="External"/><Relationship Id="rId213" Type="http://schemas.openxmlformats.org/officeDocument/2006/relationships/hyperlink" Target="https://isu.ifmo.ru/pls/apex/f?p=2143:PERSON:104550057455727::NO:RP:PID:466806" TargetMode="External"/><Relationship Id="rId214" Type="http://schemas.openxmlformats.org/officeDocument/2006/relationships/hyperlink" Target="https://isu.ifmo.ru/pls/apex/f?p=2143:PERSON:108679100488105::NO:RP:PID:474334" TargetMode="External"/><Relationship Id="rId215" Type="http://schemas.openxmlformats.org/officeDocument/2006/relationships/hyperlink" Target="https://isu.ifmo.ru/pls/apex/f?p=2143:PERSON:104550057455727::NO:RP:PID:463222" TargetMode="External"/><Relationship Id="rId216" Type="http://schemas.openxmlformats.org/officeDocument/2006/relationships/hyperlink" Target="https://isu.ifmo.ru/pls/apex/f?p=2143:PERSON:100554432904982::NO:RP:PID:466815" TargetMode="External"/><Relationship Id="rId217" Type="http://schemas.openxmlformats.org/officeDocument/2006/relationships/hyperlink" Target="https://isu.ifmo.ru/pls/apex/f?p=2143:PERSON:104550057455727::NO:RP:PID:466816" TargetMode="External"/><Relationship Id="rId218" Type="http://schemas.openxmlformats.org/officeDocument/2006/relationships/hyperlink" Target="https://isu.ifmo.ru/pls/apex/f?p=2143:PERSON:100554432904982::NO:RP:PID:466817" TargetMode="External"/><Relationship Id="rId219" Type="http://schemas.openxmlformats.org/officeDocument/2006/relationships/hyperlink" Target="https://isu.ifmo.ru/pls/apex/f?p=2143:PERSON:104550057455727::NO:RP:PID:466823" TargetMode="External"/><Relationship Id="rId220" Type="http://schemas.openxmlformats.org/officeDocument/2006/relationships/hyperlink" Target="https://isu.ifmo.ru/pls/apex/f?p=2143:PERSON:104550057455727::NO:RP:PID:466824" TargetMode="External"/><Relationship Id="rId221" Type="http://schemas.openxmlformats.org/officeDocument/2006/relationships/hyperlink" Target="https://isu.ifmo.ru/pls/apex/f?p=2143:PERSON:104550057455727::NO:RP:PID:466828" TargetMode="External"/><Relationship Id="rId222" Type="http://schemas.openxmlformats.org/officeDocument/2006/relationships/hyperlink" Target="https://isu.ifmo.ru/pls/apex/f?p=2143:PERSON:100554432904982::NO:RP:PID:419310" TargetMode="External"/><Relationship Id="rId223" Type="http://schemas.openxmlformats.org/officeDocument/2006/relationships/hyperlink" Target="https://isu.ifmo.ru/pls/apex/f?p=2143:PERSON:104550057455727::NO:RP:PID:466852" TargetMode="External"/><Relationship Id="rId224" Type="http://schemas.openxmlformats.org/officeDocument/2006/relationships/hyperlink" Target="https://isu.ifmo.ru/pls/apex/f?p=2143:PERSON:104550057455727::NO:RP:PID:466853" TargetMode="External"/><Relationship Id="rId225" Type="http://schemas.openxmlformats.org/officeDocument/2006/relationships/hyperlink" Target="https://isu.ifmo.ru/pls/apex/f?p=2143:PERSON:104550057455727::NO:RP:PID:466855" TargetMode="External"/><Relationship Id="rId226" Type="http://schemas.openxmlformats.org/officeDocument/2006/relationships/hyperlink" Target="https://isu.ifmo.ru/pls/apex/f?p=2143:PERSON:106520618380949::NO:RP:PID:405271" TargetMode="External"/><Relationship Id="rId227" Type="http://schemas.openxmlformats.org/officeDocument/2006/relationships/hyperlink" Target="https://isu.ifmo.ru/pls/apex/f?p=2143:PERSON:104550057455727::NO:RP:PID:466866" TargetMode="External"/><Relationship Id="rId228" Type="http://schemas.openxmlformats.org/officeDocument/2006/relationships/hyperlink" Target="https://isu.ifmo.ru/pls/apex/f?p=2143:PERSON:104550057455727::NO:RP:PID:466870" TargetMode="External"/><Relationship Id="rId229" Type="http://schemas.openxmlformats.org/officeDocument/2006/relationships/hyperlink" Target="https://isu.ifmo.ru/pls/apex/f?p=2143:PERSON:100554432904982::NO:RP:PID:466873" TargetMode="External"/><Relationship Id="rId230" Type="http://schemas.openxmlformats.org/officeDocument/2006/relationships/hyperlink" Target="https://isu.ifmo.ru/pls/apex/f?p=2143:PERSON:104550057455727::NO:RP:PID:472302" TargetMode="External"/><Relationship Id="rId231" Type="http://schemas.openxmlformats.org/officeDocument/2006/relationships/hyperlink" Target="https://isu.ifmo.ru/pls/apex/f?p=2143:PERSON:104550057455727::NO:RP:PID:466886" TargetMode="External"/><Relationship Id="rId232" Type="http://schemas.openxmlformats.org/officeDocument/2006/relationships/hyperlink" Target="https://isu.ifmo.ru/pls/apex/f?p=2143:PERSON:100554432904982::NO:RP:PID:466890" TargetMode="External"/><Relationship Id="rId233" Type="http://schemas.openxmlformats.org/officeDocument/2006/relationships/hyperlink" Target="https://isu.ifmo.ru/pls/apex/f?p=2143:PERSON:104550057455727::NO:RP:PID:466903" TargetMode="External"/><Relationship Id="rId234" Type="http://schemas.openxmlformats.org/officeDocument/2006/relationships/hyperlink" Target="https://isu.ifmo.ru/pls/apex/f?p=2143:PERSON:100554432904982::NO:RP:PID:466912" TargetMode="External"/><Relationship Id="rId235" Type="http://schemas.openxmlformats.org/officeDocument/2006/relationships/hyperlink" Target="https://isu.ifmo.ru/pls/apex/f?p=2143:PERSON:104550057455727::NO:RP:PID:466930" TargetMode="External"/><Relationship Id="rId236" Type="http://schemas.openxmlformats.org/officeDocument/2006/relationships/hyperlink" Target="https://isu.ifmo.ru/pls/apex/f?p=2143:PERSON:104550057455727::NO:RP:PID:466932" TargetMode="External"/><Relationship Id="rId237" Type="http://schemas.openxmlformats.org/officeDocument/2006/relationships/hyperlink" Target="https://isu.ifmo.ru/pls/apex/f?p=2143:PERSON:104550057455727::NO:RP:PID:466938" TargetMode="External"/><Relationship Id="rId238" Type="http://schemas.openxmlformats.org/officeDocument/2006/relationships/hyperlink" Target="https://isu.ifmo.ru/pls/apex/f?p=2143:PERSON:104550057455727::NO:RP:PID:466944" TargetMode="External"/><Relationship Id="rId239" Type="http://schemas.openxmlformats.org/officeDocument/2006/relationships/hyperlink" Target="https://isu.ifmo.ru/pls/apex/f?p=2143:PERSON:104550057455727::NO:RP:PID:463223" TargetMode="External"/><Relationship Id="rId240" Type="http://schemas.openxmlformats.org/officeDocument/2006/relationships/hyperlink" Target="https://isu.ifmo.ru/pls/apex/f?p=2143:PERSON:100554432904982::NO:RP:PID:466961" TargetMode="External"/><Relationship Id="rId241" Type="http://schemas.openxmlformats.org/officeDocument/2006/relationships/hyperlink" Target="https://isu.ifmo.ru/pls/apex/f?p=2143:PERSON:100554432904982::NO:RP:PID:466972" TargetMode="External"/><Relationship Id="rId242" Type="http://schemas.openxmlformats.org/officeDocument/2006/relationships/hyperlink" Target="https://isu.ifmo.ru/pls/apex/f?p=2143:PERSON:104550057455727::NO:RP:PID:348809" TargetMode="External"/><Relationship Id="rId243" Type="http://schemas.openxmlformats.org/officeDocument/2006/relationships/hyperlink" Target="https://isu.ifmo.ru/pls/apex/f?p=2143:PERSON:104550057455727::NO:RP:PID:466985" TargetMode="External"/><Relationship Id="rId244" Type="http://schemas.openxmlformats.org/officeDocument/2006/relationships/hyperlink" Target="https://isu.ifmo.ru/pls/apex/f?p=2143:PERSON:106520618380949::NO:RP:PID:406672" TargetMode="External"/><Relationship Id="rId245" Type="http://schemas.openxmlformats.org/officeDocument/2006/relationships/hyperlink" Target="https://isu.ifmo.ru/pls/apex/f?p=2143:PERSON:110824178822855::NO:RP:PID:409297" TargetMode="External"/><Relationship Id="rId246" Type="http://schemas.openxmlformats.org/officeDocument/2006/relationships/hyperlink" Target="https://isu.ifmo.ru/pls/apex/f?p=2143:PERSON:100554432904982::NO:RP:PID:467018" TargetMode="External"/><Relationship Id="rId247" Type="http://schemas.openxmlformats.org/officeDocument/2006/relationships/hyperlink" Target="https://isu.ifmo.ru/pls/apex/f?p=2143:PERSON:100554432904982::NO:RP:PID:467027" TargetMode="External"/><Relationship Id="rId248" Type="http://schemas.openxmlformats.org/officeDocument/2006/relationships/hyperlink" Target="https://isu.ifmo.ru/pls/apex/f?p=2143:PERSON:100554432904982::NO:RP:PID:467037" TargetMode="External"/><Relationship Id="rId249" Type="http://schemas.openxmlformats.org/officeDocument/2006/relationships/hyperlink" Target="https://isu.ifmo.ru/pls/apex/f?p=2143:PERSON:104550057455727::NO:RP:PID:467039" TargetMode="External"/><Relationship Id="rId250" Type="http://schemas.openxmlformats.org/officeDocument/2006/relationships/hyperlink" Target="https://isu.ifmo.ru/pls/apex/f?p=2143:PERSON:104550057455727::NO:RP:PID:467072" TargetMode="External"/><Relationship Id="rId251" Type="http://schemas.openxmlformats.org/officeDocument/2006/relationships/hyperlink" Target="https://isu.ifmo.ru/pls/apex/f?p=2143:PERSON:104550057455727::NO:RP:PID:467082" TargetMode="External"/><Relationship Id="rId252" Type="http://schemas.openxmlformats.org/officeDocument/2006/relationships/hyperlink" Target="https://isu.ifmo.ru/pls/apex/f?p=2143:PERSON:100554432904982::NO:RP:PID:467088" TargetMode="External"/><Relationship Id="rId253" Type="http://schemas.openxmlformats.org/officeDocument/2006/relationships/hyperlink" Target="https://isu.ifmo.ru/pls/apex/f?p=2143:PERSON:104550057455727::NO:RP:PID:467092" TargetMode="External"/><Relationship Id="rId254" Type="http://schemas.openxmlformats.org/officeDocument/2006/relationships/hyperlink" Target="https://isu.ifmo.ru/pls/apex/f?p=2143:PERSON:104550057455727::NO:RP:PID:467109" TargetMode="External"/><Relationship Id="rId255" Type="http://schemas.openxmlformats.org/officeDocument/2006/relationships/hyperlink" Target="https://isu.ifmo.ru/pls/apex/f?p=2143:PERSON:100554432904982::NO:RP:PID:467132" TargetMode="External"/><Relationship Id="rId256" Type="http://schemas.openxmlformats.org/officeDocument/2006/relationships/hyperlink" Target="https://isu.ifmo.ru/pls/apex/f?p=2143:PERSON:104073019549196::NO:RP:PID:409364" TargetMode="External"/><Relationship Id="rId257" Type="http://schemas.openxmlformats.org/officeDocument/2006/relationships/hyperlink" Target="https://isu.ifmo.ru/pls/apex/f?p=2143:PERSON:100554432904982::NO:RP:PID:467139" TargetMode="External"/><Relationship Id="rId258" Type="http://schemas.openxmlformats.org/officeDocument/2006/relationships/hyperlink" Target="https://isu.ifmo.ru/pls/apex/f?p=2143:PERSON:100554432904982::NO:RP:PID:467141" TargetMode="External"/><Relationship Id="rId259" Type="http://schemas.openxmlformats.org/officeDocument/2006/relationships/hyperlink" Target="https://isu.ifmo.ru/pls/apex/f?p=2143:PERSON:104550057455727::NO:RP:PID:467144" TargetMode="External"/><Relationship Id="rId260" Type="http://schemas.openxmlformats.org/officeDocument/2006/relationships/hyperlink" Target="https://isu.ifmo.ru/pls/apex/f?p=2143:PERSON:104550057455727::NO:RP:PID:472374" TargetMode="External"/><Relationship Id="rId261" Type="http://schemas.openxmlformats.org/officeDocument/2006/relationships/hyperlink" Target="https://isu.ifmo.ru/pls/apex/f?p=2143:PERSON:104550057455727::NO:RP:PID:467157" TargetMode="External"/><Relationship Id="rId262" Type="http://schemas.openxmlformats.org/officeDocument/2006/relationships/hyperlink" Target="https://isu.ifmo.ru/pls/apex/f?p=2143:PERSON:104550057455727::NO:RP:PID:467182" TargetMode="External"/><Relationship Id="rId263" Type="http://schemas.openxmlformats.org/officeDocument/2006/relationships/hyperlink" Target="https://isu.ifmo.ru/pls/apex/f?p=2143:PERSON:104550057455727::NO:RP:PID:467185" TargetMode="External"/><Relationship Id="rId264" Type="http://schemas.openxmlformats.org/officeDocument/2006/relationships/hyperlink" Target="https://isu.ifmo.ru/pls/apex/f?p=2143:PERSON:104550057455727::NO:RP:PID:472391" TargetMode="External"/><Relationship Id="rId265" Type="http://schemas.openxmlformats.org/officeDocument/2006/relationships/hyperlink" Target="https://isu.ifmo.ru/pls/apex/f?p=2143:PERSON:104550057455727::NO:RP:PID:467204" TargetMode="External"/><Relationship Id="rId266" Type="http://schemas.openxmlformats.org/officeDocument/2006/relationships/hyperlink" Target="https://isu.ifmo.ru/pls/apex/f?p=2143:PERSON:104550057455727::NO:RP:PID:467205" TargetMode="External"/><Relationship Id="rId267" Type="http://schemas.openxmlformats.org/officeDocument/2006/relationships/hyperlink" Target="https://isu.ifmo.ru/pls/apex/f?p=2143:PERSON:104550057455727::NO:RP:PID:472395" TargetMode="External"/><Relationship Id="rId268" Type="http://schemas.openxmlformats.org/officeDocument/2006/relationships/hyperlink" Target="https://isu.ifmo.ru/pls/apex/f?p=2143:PERSON:104550057455727::NO:RP:PID:467211" TargetMode="External"/><Relationship Id="rId269" Type="http://schemas.openxmlformats.org/officeDocument/2006/relationships/hyperlink" Target="https://isu.ifmo.ru/pls/apex/f?p=2143:PERSON:104550057455727::NO:RP:PID:467213" TargetMode="External"/><Relationship Id="rId270" Type="http://schemas.openxmlformats.org/officeDocument/2006/relationships/hyperlink" Target="https://isu.ifmo.ru/pls/apex/f?p=2143:PERSON:103712940893820::NO:RP:PID:407793" TargetMode="External"/><Relationship Id="rId271" Type="http://schemas.openxmlformats.org/officeDocument/2006/relationships/hyperlink" Target="https://isu.ifmo.ru/pls/apex/f?p=2143:PERSON:104550057455727::NO:RP:PID:467222" TargetMode="External"/><Relationship Id="rId272" Type="http://schemas.openxmlformats.org/officeDocument/2006/relationships/hyperlink" Target="https://isu.ifmo.ru/pls/apex/f?p=2143:PERSON:104550057455727::NO:RP:PID:463224" TargetMode="External"/><Relationship Id="rId273" Type="http://schemas.openxmlformats.org/officeDocument/2006/relationships/hyperlink" Target="https://isu.ifmo.ru/pls/apex/f?p=2143:PERSON:115546012374701::NO:RP:PID:414249" TargetMode="External"/><Relationship Id="rId274" Type="http://schemas.openxmlformats.org/officeDocument/2006/relationships/hyperlink" Target="https://isu.ifmo.ru/pls/apex/f?p=2143:PERSON:104550057455727::NO:RP:PID:475186" TargetMode="External"/><Relationship Id="rId275" Type="http://schemas.openxmlformats.org/officeDocument/2006/relationships/hyperlink" Target="https://isu.ifmo.ru/pls/apex/f?p=2143:PERSON:100554432904982::NO:RP:PID:467233" TargetMode="External"/><Relationship Id="rId276" Type="http://schemas.openxmlformats.org/officeDocument/2006/relationships/hyperlink" Target="https://isu.ifmo.ru/pls/apex/f?p=2143:PERSON:100554432904982::NO:RP:PID:467234" TargetMode="External"/><Relationship Id="rId277" Type="http://schemas.openxmlformats.org/officeDocument/2006/relationships/hyperlink" Target="https://isu.ifmo.ru/pls/apex/f?p=2143:PERSON:100554432904982::NO:RP:PID:467237" TargetMode="External"/><Relationship Id="rId278" Type="http://schemas.openxmlformats.org/officeDocument/2006/relationships/hyperlink" Target="https://isu.ifmo.ru/pls/apex/f?p=2143:PERSON:104550057455727::NO:RP:PID:407893" TargetMode="External"/><Relationship Id="rId279" Type="http://schemas.openxmlformats.org/officeDocument/2006/relationships/hyperlink" Target="https://isu.ifmo.ru/pls/apex/f?p=2143:PERSON:104550057455727::NO:RP:PID:467242" TargetMode="External"/><Relationship Id="rId280" Type="http://schemas.openxmlformats.org/officeDocument/2006/relationships/hyperlink" Target="https://isu.ifmo.ru/pls/apex/f?p=2143:PERSON:104550057455727::NO:RP:PID:467244" TargetMode="External"/><Relationship Id="rId281" Type="http://schemas.openxmlformats.org/officeDocument/2006/relationships/hyperlink" Target="https://isu.ifmo.ru/pls/apex/f?p=2143:PERSON:104550057455727::NO:RP:PID:467282" TargetMode="External"/><Relationship Id="rId282" Type="http://schemas.openxmlformats.org/officeDocument/2006/relationships/hyperlink" Target="https://isu.ifmo.ru/pls/apex/f?p=2143:PERSON:104550057455727::NO:RP:PID:467288" TargetMode="External"/><Relationship Id="rId283" Type="http://schemas.openxmlformats.org/officeDocument/2006/relationships/hyperlink" Target="https://isu.ifmo.ru/pls/apex/f?p=2143:PERSON:104550057455727::NO:RP:PID:467297" TargetMode="External"/><Relationship Id="rId284" Type="http://schemas.openxmlformats.org/officeDocument/2006/relationships/hyperlink" Target="https://isu.ifmo.ru/pls/apex/f?p=2143:PERSON:100554432904982::NO:RP:PID:424309" TargetMode="External"/><Relationship Id="rId285" Type="http://schemas.openxmlformats.org/officeDocument/2006/relationships/hyperlink" Target="https://isu.ifmo.ru/pls/apex/f?p=2143:PERSON:104550057455727::NO:RP:PID:467305" TargetMode="External"/><Relationship Id="rId286" Type="http://schemas.openxmlformats.org/officeDocument/2006/relationships/hyperlink" Target="https://isu.ifmo.ru/pls/apex/f?p=2143:PERSON:104550057455727::NO:RP:PID:467306" TargetMode="External"/><Relationship Id="rId287" Type="http://schemas.openxmlformats.org/officeDocument/2006/relationships/hyperlink" Target="https://isu.ifmo.ru/pls/apex/f?p=2143:PERSON:104550057455727::NO:RP:PID:467307" TargetMode="External"/><Relationship Id="rId288" Type="http://schemas.openxmlformats.org/officeDocument/2006/relationships/hyperlink" Target="https://isu.ifmo.ru/pls/apex/f?p=2143:PERSON:104550057455727::NO:RP:PID:467318" TargetMode="External"/><Relationship Id="rId289" Type="http://schemas.openxmlformats.org/officeDocument/2006/relationships/hyperlink" Target="https://isu.ifmo.ru/pls/apex/f?p=2143:PERSON:104550057455727::NO:RP:PID:467329" TargetMode="External"/><Relationship Id="rId290" Type="http://schemas.openxmlformats.org/officeDocument/2006/relationships/hyperlink" Target="https://isu.ifmo.ru/pls/apex/f?p=2143:PERSON:115546012374701::NO:RP:PID:372451" TargetMode="External"/><Relationship Id="rId291" Type="http://schemas.openxmlformats.org/officeDocument/2006/relationships/hyperlink" Target="https://isu.ifmo.ru/pls/apex/f?p=2143:PERSON:104550057455727::NO:RP:PID:467342" TargetMode="External"/><Relationship Id="rId292" Type="http://schemas.openxmlformats.org/officeDocument/2006/relationships/hyperlink" Target="https://isu.ifmo.ru/pls/apex/f?p=2143:PERSON:103712940893820::NO:RP:PID:408067" TargetMode="External"/><Relationship Id="rId293" Type="http://schemas.openxmlformats.org/officeDocument/2006/relationships/hyperlink" Target="https://isu.ifmo.ru/pls/apex/f?p=2143:PERSON:100554432904982::NO:RP:PID:467351" TargetMode="External"/><Relationship Id="rId294" Type="http://schemas.openxmlformats.org/officeDocument/2006/relationships/hyperlink" Target="https://isu.ifmo.ru/pls/apex/f?p=2143:PERSON:104550057455727::NO:RP:PID:467353" TargetMode="External"/><Relationship Id="rId295" Type="http://schemas.openxmlformats.org/officeDocument/2006/relationships/hyperlink" Target="https://isu.ifmo.ru/pls/apex/f?p=2143:PERSON:104550057455727::NO:RP:PID:467363" TargetMode="External"/><Relationship Id="rId296" Type="http://schemas.openxmlformats.org/officeDocument/2006/relationships/hyperlink" Target="https://isu.ifmo.ru/pls/apex/f?p=2143:PERSON:104550057455727::NO:RP:PID:467371" TargetMode="External"/><Relationship Id="rId297" Type="http://schemas.openxmlformats.org/officeDocument/2006/relationships/hyperlink" Target="https://isu.ifmo.ru/pls/apex/f?p=2143:PERSON:104550057455727::NO:RP:PID:467381" TargetMode="External"/><Relationship Id="rId298" Type="http://schemas.openxmlformats.org/officeDocument/2006/relationships/hyperlink" Target="https://isu.ifmo.ru/pls/apex/f?p=2143:PERSON:104550057455727::NO:RP:PID:467388" TargetMode="External"/><Relationship Id="rId299" Type="http://schemas.openxmlformats.org/officeDocument/2006/relationships/hyperlink" Target="https://isu.ifmo.ru/pls/apex/f?p=2143:PERSON:104550057455727::NO:RP:PID:467392" TargetMode="External"/><Relationship Id="rId300" Type="http://schemas.openxmlformats.org/officeDocument/2006/relationships/hyperlink" Target="https://isu.ifmo.ru/pls/apex/f?p=2143:PERSON:104550057455727::NO:RP:PID:467393" TargetMode="External"/><Relationship Id="rId301" Type="http://schemas.openxmlformats.org/officeDocument/2006/relationships/hyperlink" Target="https://isu.ifmo.ru/pls/apex/f?p=2143:PERSON:104550057455727::NO:RP:PID:467409" TargetMode="External"/><Relationship Id="rId302" Type="http://schemas.openxmlformats.org/officeDocument/2006/relationships/hyperlink" Target="https://isu.ifmo.ru/pls/apex/f?p=2143:PERSON:100554432904982::NO:RP:PID:472464" TargetMode="External"/><Relationship Id="rId303" Type="http://schemas.openxmlformats.org/officeDocument/2006/relationships/hyperlink" Target="https://isu.ifmo.ru/pls/apex/f?p=2143:PERSON:104550057455727::NO:RP:PID:467422" TargetMode="External"/><Relationship Id="rId304" Type="http://schemas.openxmlformats.org/officeDocument/2006/relationships/hyperlink" Target="https://isu.ifmo.ru/pls/apex/f?p=2143:PERSON:100554432904982::NO:RP:PID:467432" TargetMode="External"/><Relationship Id="rId305" Type="http://schemas.openxmlformats.org/officeDocument/2006/relationships/hyperlink" Target="https://isu.ifmo.ru/pls/apex/f?p=2143:PERSON:100554432904982::NO:RP:PID:467434" TargetMode="External"/><Relationship Id="rId306" Type="http://schemas.openxmlformats.org/officeDocument/2006/relationships/hyperlink" Target="https://isu.ifmo.ru/pls/apex/f?p=2143:PERSON:104550057455727::NO:RP:PID:472474" TargetMode="External"/><Relationship Id="rId307" Type="http://schemas.openxmlformats.org/officeDocument/2006/relationships/hyperlink" Target="https://isu.ifmo.ru/pls/apex/f?p=2143:PERSON:104550057455727::NO:RP:PID:467463" TargetMode="External"/><Relationship Id="rId308" Type="http://schemas.openxmlformats.org/officeDocument/2006/relationships/hyperlink" Target="https://isu.ifmo.ru/pls/apex/f?p=2143:PERSON:100554432904982::NO:RP:PID:467464" TargetMode="External"/><Relationship Id="rId309" Type="http://schemas.openxmlformats.org/officeDocument/2006/relationships/hyperlink" Target="https://isu.ifmo.ru/pls/apex/f?p=2143:PERSON:104550057455727::NO:RP:PID:467467" TargetMode="External"/><Relationship Id="rId310" Type="http://schemas.openxmlformats.org/officeDocument/2006/relationships/hyperlink" Target="https://isu.ifmo.ru/pls/apex/f?p=2143:PERSON:104550057455727::NO:RP:PID:475197" TargetMode="External"/><Relationship Id="rId311" Type="http://schemas.openxmlformats.org/officeDocument/2006/relationships/hyperlink" Target="https://isu.ifmo.ru/pls/apex/f?p=2143:PERSON:104550057455727::NO:RP:PID:467478" TargetMode="External"/><Relationship Id="rId312" Type="http://schemas.openxmlformats.org/officeDocument/2006/relationships/hyperlink" Target="https://isu.ifmo.ru/pls/apex/f?p=2143:PERSON:104550057455727::NO:RP:PID:467484" TargetMode="External"/><Relationship Id="rId313" Type="http://schemas.openxmlformats.org/officeDocument/2006/relationships/hyperlink" Target="https://isu.ifmo.ru/pls/apex/f?p=2143:PERSON:100554432904982::NO:RP:PID:467494" TargetMode="External"/><Relationship Id="rId314" Type="http://schemas.openxmlformats.org/officeDocument/2006/relationships/hyperlink" Target="https://isu.ifmo.ru/pls/apex/f?p=2143:PERSON:104550057455727::NO:RP:PID:467495" TargetMode="External"/><Relationship Id="rId315" Type="http://schemas.openxmlformats.org/officeDocument/2006/relationships/hyperlink" Target="https://isu.ifmo.ru/pls/apex/f?p=2143:PERSON:104550057455727::NO:RP:PID:476011" TargetMode="External"/><Relationship Id="rId316" Type="http://schemas.openxmlformats.org/officeDocument/2006/relationships/hyperlink" Target="https://isu.ifmo.ru/pls/apex/f?p=2143:PERSON:104550057455727::NO:RP:PID:467507" TargetMode="External"/><Relationship Id="rId317" Type="http://schemas.openxmlformats.org/officeDocument/2006/relationships/hyperlink" Target="https://isu.ifmo.ru/pls/apex/f?p=2143:PERSON:104550057455727::NO:RP:PID:467509" TargetMode="External"/><Relationship Id="rId318" Type="http://schemas.openxmlformats.org/officeDocument/2006/relationships/hyperlink" Target="https://isu.ifmo.ru/pls/apex/f?p=2143:PERSON:115546012374701::NO:RP:PID:268766" TargetMode="External"/><Relationship Id="rId319" Type="http://schemas.openxmlformats.org/officeDocument/2006/relationships/hyperlink" Target="https://isu.ifmo.ru/pls/apex/f?p=2143:PERSON:100554432904982::NO:RP:PID:467525" TargetMode="External"/><Relationship Id="rId320" Type="http://schemas.openxmlformats.org/officeDocument/2006/relationships/hyperlink" Target="https://isu.ifmo.ru/pls/apex/f?p=2143:PERSON:100554432904982::NO:RP:PID:467530" TargetMode="External"/><Relationship Id="rId321" Type="http://schemas.openxmlformats.org/officeDocument/2006/relationships/hyperlink" Target="https://isu.ifmo.ru/pls/apex/f?p=2143:PERSON:112836844684472::NO:RP:PID:467537" TargetMode="External"/><Relationship Id="rId322" Type="http://schemas.openxmlformats.org/officeDocument/2006/relationships/hyperlink" Target="https://isu.ifmo.ru/pls/apex/f?p=2143:PERSON:104550057455727::NO:RP:PID:467546" TargetMode="External"/><Relationship Id="rId323" Type="http://schemas.openxmlformats.org/officeDocument/2006/relationships/hyperlink" Target="https://isu.ifmo.ru/pls/apex/f?p=2143:PERSON:104550057455727::NO:RP:PID:467549" TargetMode="External"/><Relationship Id="rId324" Type="http://schemas.openxmlformats.org/officeDocument/2006/relationships/hyperlink" Target="https://isu.ifmo.ru/pls/apex/f?p=2143:PERSON:104550057455727::NO:RP:PID:467550" TargetMode="External"/><Relationship Id="rId325" Type="http://schemas.openxmlformats.org/officeDocument/2006/relationships/hyperlink" Target="https://isu.ifmo.ru/pls/apex/f?p=2143:PERSON:128921440354501::NO:RP:PID:409611" TargetMode="External"/><Relationship Id="rId326" Type="http://schemas.openxmlformats.org/officeDocument/2006/relationships/hyperlink" Target="https://isu.ifmo.ru/pls/apex/f?p=2143:PERSON:104550057455727::NO:RP:PID:467570" TargetMode="External"/><Relationship Id="rId327" Type="http://schemas.openxmlformats.org/officeDocument/2006/relationships/hyperlink" Target="https://isu.ifmo.ru/pls/apex/f?p=2143:PERSON:104550057455727::NO:RP:PID:467579" TargetMode="External"/><Relationship Id="rId328" Type="http://schemas.openxmlformats.org/officeDocument/2006/relationships/hyperlink" Target="https://isu.ifmo.ru/pls/apex/f?p=2143:PERSON:104550057455727::NO:RP:PID:467586" TargetMode="External"/><Relationship Id="rId329" Type="http://schemas.openxmlformats.org/officeDocument/2006/relationships/hyperlink" Target="https://isu.ifmo.ru/pls/apex/f?p=2143:PERSON:100554432904982::NO:RP:PID:467593" TargetMode="External"/><Relationship Id="rId330" Type="http://schemas.openxmlformats.org/officeDocument/2006/relationships/hyperlink" Target="https://isu.ifmo.ru/pls/apex/f?p=2143:PERSON:104550057455727::NO:RP:PID:463225" TargetMode="External"/><Relationship Id="rId331" Type="http://schemas.openxmlformats.org/officeDocument/2006/relationships/hyperlink" Target="https://isu.ifmo.ru/pls/apex/f?p=2143:PERSON:100554432904982::NO:RP:PID:467604" TargetMode="External"/><Relationship Id="rId332" Type="http://schemas.openxmlformats.org/officeDocument/2006/relationships/hyperlink" Target="https://isu.ifmo.ru/pls/apex/f?p=2143:PERSON:104550057455727::NO:RP:PID:467610" TargetMode="External"/><Relationship Id="rId333" Type="http://schemas.openxmlformats.org/officeDocument/2006/relationships/hyperlink" Target="https://isu.ifmo.ru/pls/apex/f?p=2143:PERSON:100554432904982::NO:RP:PID:407956" TargetMode="External"/><Relationship Id="rId334" Type="http://schemas.openxmlformats.org/officeDocument/2006/relationships/hyperlink" Target="https://isu.ifmo.ru/pls/apex/f?p=2143:PERSON:104550057455727::NO:RP:PID:467618" TargetMode="External"/><Relationship Id="rId335" Type="http://schemas.openxmlformats.org/officeDocument/2006/relationships/hyperlink" Target="https://isu.ifmo.ru/pls/apex/f?p=2143:PERSON:104550057455727::NO:RP:PID:472530" TargetMode="External"/><Relationship Id="rId336" Type="http://schemas.openxmlformats.org/officeDocument/2006/relationships/hyperlink" Target="https://isu.ifmo.ru/pls/apex/f?p=2143:PERSON:104550057455727::NO:RP:PID:467622" TargetMode="External"/><Relationship Id="rId337" Type="http://schemas.openxmlformats.org/officeDocument/2006/relationships/hyperlink" Target="https://isu.ifmo.ru/pls/apex/f?p=2143:PERSON:104550057455727::NO:RP:PID:467639" TargetMode="External"/><Relationship Id="rId338" Type="http://schemas.openxmlformats.org/officeDocument/2006/relationships/hyperlink" Target="https://isu.ifmo.ru/pls/apex/f?p=2143:PERSON:104550057455727::NO:RP:PID:467647" TargetMode="External"/><Relationship Id="rId339" Type="http://schemas.openxmlformats.org/officeDocument/2006/relationships/hyperlink" Target="https://isu.ifmo.ru/pls/apex/f?p=2143:PERSON:104550057455727::NO:RP:PID:467649" TargetMode="External"/><Relationship Id="rId340" Type="http://schemas.openxmlformats.org/officeDocument/2006/relationships/hyperlink" Target="https://isu.ifmo.ru/pls/apex/f?p=2143:PERSON:104550057455727::NO:RP:PID:467654" TargetMode="External"/><Relationship Id="rId341" Type="http://schemas.openxmlformats.org/officeDocument/2006/relationships/hyperlink" Target="https://isu.ifmo.ru/pls/apex/f?p=2143:PERSON:105018397182644::NO:RP:PID:409658" TargetMode="External"/><Relationship Id="rId342" Type="http://schemas.openxmlformats.org/officeDocument/2006/relationships/hyperlink" Target="https://isu.ifmo.ru/pls/apex/f?p=2143:PERSON:115546012374701::NO:RP:PID:374849" TargetMode="External"/><Relationship Id="rId343" Type="http://schemas.openxmlformats.org/officeDocument/2006/relationships/hyperlink" Target="https://isu.ifmo.ru/pls/apex/f?p=2143:PERSON:100554432904982::NO:RP:PID:467667" TargetMode="External"/><Relationship Id="rId344" Type="http://schemas.openxmlformats.org/officeDocument/2006/relationships/hyperlink" Target="https://isu.ifmo.ru/pls/apex/f?p=2143:PERSON:104550057455727::NO:RP:PID:467669" TargetMode="External"/><Relationship Id="rId345" Type="http://schemas.openxmlformats.org/officeDocument/2006/relationships/hyperlink" Target="https://isu.ifmo.ru/pls/apex/f?p=2143:PERSON:104550057455727::NO:RP:PID:467675" TargetMode="External"/><Relationship Id="rId346" Type="http://schemas.openxmlformats.org/officeDocument/2006/relationships/hyperlink" Target="https://isu.ifmo.ru/pls/apex/f?p=2143:PERSON:100554432904982::NO:RP:PID:467676" TargetMode="External"/><Relationship Id="rId347" Type="http://schemas.openxmlformats.org/officeDocument/2006/relationships/hyperlink" Target="https://isu.ifmo.ru/pls/apex/f?p=2143:PERSON:100554432904982::NO:RP:PID:372856" TargetMode="External"/><Relationship Id="rId348" Type="http://schemas.openxmlformats.org/officeDocument/2006/relationships/hyperlink" Target="https://isu.ifmo.ru/pls/apex/f?p=2143:PERSON:104550057455727::NO:RP:PID:472548" TargetMode="External"/><Relationship Id="rId349" Type="http://schemas.openxmlformats.org/officeDocument/2006/relationships/hyperlink" Target="https://isu.ifmo.ru/pls/apex/f?p=2143:PERSON:100554432904982::NO:RP:PID:467696" TargetMode="External"/><Relationship Id="rId350" Type="http://schemas.openxmlformats.org/officeDocument/2006/relationships/hyperlink" Target="https://isu.ifmo.ru/pls/apex/f?p=2143:PERSON:100554432904982::NO:RP:PID:467704" TargetMode="External"/><Relationship Id="rId351" Type="http://schemas.openxmlformats.org/officeDocument/2006/relationships/hyperlink" Target="https://isu.ifmo.ru/pls/apex/f?p=2143:PERSON:104550057455727::NO:RP:PID:467727" TargetMode="External"/><Relationship Id="rId352" Type="http://schemas.openxmlformats.org/officeDocument/2006/relationships/hyperlink" Target="https://isu.ifmo.ru/pls/apex/f?p=2143:PERSON:104550057455727::NO:RP:PID:467731" TargetMode="External"/><Relationship Id="rId353" Type="http://schemas.openxmlformats.org/officeDocument/2006/relationships/hyperlink" Target="https://isu.ifmo.ru/pls/apex/f?p=2143:PERSON:100554432904982::NO:RP:PID:467738" TargetMode="External"/><Relationship Id="rId354" Type="http://schemas.openxmlformats.org/officeDocument/2006/relationships/hyperlink" Target="https://isu.ifmo.ru/pls/apex/f?p=2143:PERSON:104550057455727::NO:RP:PID:467740" TargetMode="External"/><Relationship Id="rId355" Type="http://schemas.openxmlformats.org/officeDocument/2006/relationships/hyperlink" Target="https://isu.ifmo.ru/pls/apex/f?p=2143:PERSON:104550057455727::NO:RP:PID:467742" TargetMode="External"/><Relationship Id="rId356" Type="http://schemas.openxmlformats.org/officeDocument/2006/relationships/hyperlink" Target="https://isu.ifmo.ru/pls/apex/f?p=2143:PERSON:104550057455727::NO:RP:PID:467754" TargetMode="External"/><Relationship Id="rId357" Type="http://schemas.openxmlformats.org/officeDocument/2006/relationships/hyperlink" Target="https://isu.ifmo.ru/pls/apex/f?p=2143:PERSON:115546012374701::NO:RP:PID:377312" TargetMode="External"/><Relationship Id="rId358" Type="http://schemas.openxmlformats.org/officeDocument/2006/relationships/hyperlink" Target="https://isu.ifmo.ru/pls/apex/f?p=2143:PERSON:104550057455727::NO:RP:PID:467783" TargetMode="External"/><Relationship Id="rId359" Type="http://schemas.openxmlformats.org/officeDocument/2006/relationships/hyperlink" Target="https://isu.ifmo.ru/pls/apex/f?p=2143:PERSON:100554432904982::NO:RP:PID:463226" TargetMode="External"/><Relationship Id="rId360" Type="http://schemas.openxmlformats.org/officeDocument/2006/relationships/hyperlink" Target="https://isu.ifmo.ru/pls/apex/f?p=2143:PERSON:104550057455727::NO:RP:PID:467802" TargetMode="External"/><Relationship Id="rId361" Type="http://schemas.openxmlformats.org/officeDocument/2006/relationships/hyperlink" Target="https://isu.ifmo.ru/pls/apex/f?p=2143:PERSON:108679100488105::NO:RP:PID:467830" TargetMode="External"/><Relationship Id="rId362" Type="http://schemas.openxmlformats.org/officeDocument/2006/relationships/hyperlink" Target="https://isu.ifmo.ru/pls/apex/f?p=2143:PERSON:104550057455727::NO:RP:PID:463227" TargetMode="External"/><Relationship Id="rId363" Type="http://schemas.openxmlformats.org/officeDocument/2006/relationships/hyperlink" Target="https://isu.ifmo.ru/pls/apex/f?p=2143:PERSON:104550057455727::NO:RP:PID:467846" TargetMode="External"/><Relationship Id="rId364" Type="http://schemas.openxmlformats.org/officeDocument/2006/relationships/hyperlink" Target="https://isu.ifmo.ru/pls/apex/f?p=2143:PERSON:100554432904982::NO:RP:PID:467858" TargetMode="External"/><Relationship Id="rId365" Type="http://schemas.openxmlformats.org/officeDocument/2006/relationships/hyperlink" Target="https://isu.ifmo.ru/pls/apex/f?p=2143:PERSON:104550057455727::NO:RP:PID:467870" TargetMode="External"/><Relationship Id="rId366" Type="http://schemas.openxmlformats.org/officeDocument/2006/relationships/hyperlink" Target="https://isu.ifmo.ru/pls/apex/f?p=2143:PERSON:100554432904982::NO:RP:PID:467871" TargetMode="External"/><Relationship Id="rId367" Type="http://schemas.openxmlformats.org/officeDocument/2006/relationships/hyperlink" Target="https://isu.ifmo.ru/pls/apex/f?p=2143:PERSON:104550057455727::NO:RP:PID:467883" TargetMode="External"/><Relationship Id="rId368" Type="http://schemas.openxmlformats.org/officeDocument/2006/relationships/hyperlink" Target="https://isu.ifmo.ru/pls/apex/f?p=2143:PERSON:100554432904982::NO:RP:PID:467889" TargetMode="External"/><Relationship Id="rId369" Type="http://schemas.openxmlformats.org/officeDocument/2006/relationships/hyperlink" Target="https://isu.ifmo.ru/pls/apex/f?p=2143:PERSON:104550057455727::NO:RP:PID:467898" TargetMode="External"/><Relationship Id="rId370" Type="http://schemas.openxmlformats.org/officeDocument/2006/relationships/hyperlink" Target="https://isu.ifmo.ru/pls/apex/f?p=2143:PERSON:104550057455727::NO:RP:PID:467906" TargetMode="External"/><Relationship Id="rId371" Type="http://schemas.openxmlformats.org/officeDocument/2006/relationships/hyperlink" Target="https://isu.ifmo.ru/pls/apex/f?p=2143:PERSON:104550057455727::NO:RP:PID:312749" TargetMode="External"/><Relationship Id="rId372" Type="http://schemas.openxmlformats.org/officeDocument/2006/relationships/hyperlink" Target="https://isu.ifmo.ru/pls/apex/f?p=2143:PERSON:104550057455727::NO:RP:PID:467922" TargetMode="External"/><Relationship Id="rId373" Type="http://schemas.openxmlformats.org/officeDocument/2006/relationships/hyperlink" Target="https://isu.ifmo.ru/pls/apex/f?p=2143:PERSON:100554432904982::NO:RP:PID:415129" TargetMode="External"/><Relationship Id="rId374" Type="http://schemas.openxmlformats.org/officeDocument/2006/relationships/hyperlink" Target="https://isu.ifmo.ru/pls/apex/f?p=2143:PERSON:104550057455727::NO:RP:PID:467937" TargetMode="External"/><Relationship Id="rId375" Type="http://schemas.openxmlformats.org/officeDocument/2006/relationships/hyperlink" Target="https://isu.ifmo.ru/pls/apex/f?p=2143:PERSON:104550057455727::NO:RP:PID:467944" TargetMode="External"/><Relationship Id="rId376" Type="http://schemas.openxmlformats.org/officeDocument/2006/relationships/hyperlink" Target="https://isu.ifmo.ru/pls/apex/f?p=2143:PERSON:128921440354501::NO:RP:PID:409804" TargetMode="External"/><Relationship Id="rId377" Type="http://schemas.openxmlformats.org/officeDocument/2006/relationships/hyperlink" Target="https://isu.ifmo.ru/pls/apex/f?p=2143:PERSON:104550057455727::NO:RP:PID:467959" TargetMode="External"/><Relationship Id="rId378" Type="http://schemas.openxmlformats.org/officeDocument/2006/relationships/hyperlink" Target="https://isu.ifmo.ru/pls/apex/f?p=2143:PERSON:104550057455727::NO:RP:PID:467968" TargetMode="External"/><Relationship Id="rId379" Type="http://schemas.openxmlformats.org/officeDocument/2006/relationships/hyperlink" Target="https://isu.ifmo.ru/pls/apex/f?p=2143:PERSON:104550057455727::NO:RP:PID:467969" TargetMode="External"/><Relationship Id="rId380" Type="http://schemas.openxmlformats.org/officeDocument/2006/relationships/hyperlink" Target="https://isu.ifmo.ru/pls/apex/f?p=2143:PERSON:100554432904982::NO:RP:PID:467979" TargetMode="External"/><Relationship Id="rId381" Type="http://schemas.openxmlformats.org/officeDocument/2006/relationships/hyperlink" Target="https://isu.ifmo.ru/pls/apex/f?p=2143:PERSON:100554432904982::NO:RP:PID:407959" TargetMode="External"/><Relationship Id="rId382" Type="http://schemas.openxmlformats.org/officeDocument/2006/relationships/hyperlink" Target="https://isu.ifmo.ru/pls/apex/f?p=2143:PERSON:104550057455727::NO:RP:PID:468012" TargetMode="External"/><Relationship Id="rId383" Type="http://schemas.openxmlformats.org/officeDocument/2006/relationships/hyperlink" Target="https://isu.ifmo.ru/pls/apex/f?p=2143:PERSON:100554432904982::NO:RP:PID:468013" TargetMode="External"/><Relationship Id="rId384" Type="http://schemas.openxmlformats.org/officeDocument/2006/relationships/hyperlink" Target="https://isu.ifmo.ru/pls/apex/f?p=2143:PERSON:109320825443221::NO:RP:PID:407938" TargetMode="External"/><Relationship Id="rId385" Type="http://schemas.openxmlformats.org/officeDocument/2006/relationships/hyperlink" Target="https://isu.ifmo.ru/pls/apex/f?p=2143:PERSON:104550057455727::NO:RP:PID:475237" TargetMode="External"/><Relationship Id="rId386" Type="http://schemas.openxmlformats.org/officeDocument/2006/relationships/hyperlink" Target="https://isu.ifmo.ru/pls/apex/f?p=2143:PERSON:104550057455727::NO:RP:PID:468018" TargetMode="External"/><Relationship Id="rId387" Type="http://schemas.openxmlformats.org/officeDocument/2006/relationships/hyperlink" Target="https://isu.ifmo.ru/pls/apex/f?p=2143:PERSON:100554432904982::NO:RP:PID:468030" TargetMode="External"/><Relationship Id="rId388" Type="http://schemas.openxmlformats.org/officeDocument/2006/relationships/hyperlink" Target="https://isu.ifmo.ru/pls/apex/f?p=2143:PERSON:100554432904982::NO:RP:PID:407960" TargetMode="External"/><Relationship Id="rId389" Type="http://schemas.openxmlformats.org/officeDocument/2006/relationships/hyperlink" Target="https://isu.ifmo.ru/pls/apex/f?p=2143:PERSON:104550057455727::NO:RP:PID:468045" TargetMode="External"/><Relationship Id="rId390" Type="http://schemas.openxmlformats.org/officeDocument/2006/relationships/hyperlink" Target="https://isu.ifmo.ru/pls/apex/f?p=2143:PERSON:104550057455727::NO:RP:PID:476020" TargetMode="External"/><Relationship Id="rId391" Type="http://schemas.openxmlformats.org/officeDocument/2006/relationships/hyperlink" Target="https://isu.ifmo.ru/pls/apex/f?p=2143:PERSON:100554432904982::NO:RP:PID:472664" TargetMode="External"/><Relationship Id="rId392" Type="http://schemas.openxmlformats.org/officeDocument/2006/relationships/hyperlink" Target="https://isu.ifmo.ru/pls/apex/f?p=2143:PERSON:110210945574610::NO:RP:PID:468074" TargetMode="External"/><Relationship Id="rId393" Type="http://schemas.openxmlformats.org/officeDocument/2006/relationships/hyperlink" Target="https://isu.ifmo.ru/pls/apex/f?p=2143:PERSON:104550057455727::NO:RP:PID:468098" TargetMode="External"/><Relationship Id="rId394" Type="http://schemas.openxmlformats.org/officeDocument/2006/relationships/hyperlink" Target="https://isu.ifmo.ru/pls/apex/f?p=2143:PERSON:104550057455727::NO:RP:PID:468100" TargetMode="External"/><Relationship Id="rId395" Type="http://schemas.openxmlformats.org/officeDocument/2006/relationships/hyperlink" Target="https://isu.ifmo.ru/pls/apex/f?p=2143:PERSON:100554432904982::NO:RP:PID:468105" TargetMode="External"/><Relationship Id="rId396" Type="http://schemas.openxmlformats.org/officeDocument/2006/relationships/hyperlink" Target="https://isu.ifmo.ru/pls/apex/f?p=2143:PERSON:100554432904982::NO:RP:PID:475247" TargetMode="External"/><Relationship Id="rId397" Type="http://schemas.openxmlformats.org/officeDocument/2006/relationships/hyperlink" Target="https://isu.ifmo.ru/pls/apex/f?p=2143:PERSON:104550057455727::NO:RP:PID:468125" TargetMode="External"/><Relationship Id="rId398" Type="http://schemas.openxmlformats.org/officeDocument/2006/relationships/hyperlink" Target="https://isu.ifmo.ru/pls/apex/f?p=2143:PERSON:100554432904982::NO:RP:PID:468127" TargetMode="External"/><Relationship Id="rId399" Type="http://schemas.openxmlformats.org/officeDocument/2006/relationships/hyperlink" Target="https://isu.ifmo.ru/pls/apex/f?p=2143:PERSON:100554432904982::NO:RP:PID:468133" TargetMode="External"/><Relationship Id="rId400" Type="http://schemas.openxmlformats.org/officeDocument/2006/relationships/hyperlink" Target="https://isu.ifmo.ru/pls/apex/f?p=2143:PERSON:100554432904982::NO:RP:PID:408078" TargetMode="External"/><Relationship Id="rId401" Type="http://schemas.openxmlformats.org/officeDocument/2006/relationships/hyperlink" Target="https://isu.ifmo.ru/pls/apex/f?p=2143:PERSON:104550057455727::NO:RP:PID:468173" TargetMode="External"/><Relationship Id="rId402" Type="http://schemas.openxmlformats.org/officeDocument/2006/relationships/hyperlink" Target="https://isu.ifmo.ru/pls/apex/f?p=2143:PERSON:128921440354501::NO:RP:PID:409953" TargetMode="External"/><Relationship Id="rId403" Type="http://schemas.openxmlformats.org/officeDocument/2006/relationships/hyperlink" Target="https://isu.ifmo.ru/pls/apex/f?p=2143:PERSON:100554432904982::NO:RP:PID:468197" TargetMode="External"/><Relationship Id="rId404" Type="http://schemas.openxmlformats.org/officeDocument/2006/relationships/hyperlink" Target="https://isu.ifmo.ru/pls/apex/f?p=2143:PERSON:104550057455727::NO:RP:PID:372978" TargetMode="External"/><Relationship Id="rId405" Type="http://schemas.openxmlformats.org/officeDocument/2006/relationships/hyperlink" Target="https://isu.ifmo.ru/pls/apex/f?p=2143:PERSON:104550057455727::NO:RP:PID:468198" TargetMode="External"/><Relationship Id="rId406" Type="http://schemas.openxmlformats.org/officeDocument/2006/relationships/hyperlink" Target="https://isu.ifmo.ru/pls/apex/f?p=2143:PERSON:107243053375922::NO:RP:PID:413033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n">
        <v>3110</v>
      </c>
      <c r="B1" s="2" t="s">
        <v>0</v>
      </c>
      <c r="C1" s="3" t="s">
        <v>1</v>
      </c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9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45173</v>
      </c>
      <c r="F2" s="15" t="n">
        <f aca="false">E2+14</f>
        <v>45187</v>
      </c>
      <c r="G2" s="15" t="n">
        <f aca="false">F2+14</f>
        <v>45201</v>
      </c>
      <c r="H2" s="15" t="n">
        <f aca="false">G2+14</f>
        <v>45215</v>
      </c>
      <c r="I2" s="15" t="n">
        <f aca="false">H2+14</f>
        <v>45229</v>
      </c>
      <c r="J2" s="15" t="n">
        <f aca="false">I2+14</f>
        <v>45243</v>
      </c>
      <c r="K2" s="15" t="n">
        <f aca="false">J2+14</f>
        <v>45257</v>
      </c>
      <c r="L2" s="15" t="n">
        <f aca="false">K2+14</f>
        <v>45271</v>
      </c>
      <c r="M2" s="16"/>
      <c r="N2" s="17"/>
      <c r="O2" s="17"/>
      <c r="P2" s="18"/>
      <c r="Q2" s="19" t="s">
        <v>17</v>
      </c>
      <c r="R2" s="20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9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tr">
        <f aca="false">IFERROR(__xludf.dummyfunction("IFERROR(QUERY('Общий список'!A:D, ""SELECT C, D, B WHERE D = '""&amp;C1&amp;""'"", 0), """")"),"")</f>
        <v/>
      </c>
      <c r="C3" s="27"/>
      <c r="D3" s="27"/>
      <c r="E3" s="28"/>
      <c r="F3" s="28"/>
      <c r="G3" s="28"/>
      <c r="H3" s="28"/>
      <c r="I3" s="28"/>
      <c r="J3" s="28"/>
      <c r="K3" s="28"/>
      <c r="L3" s="28"/>
      <c r="M3" s="29"/>
      <c r="N3" s="29"/>
      <c r="O3" s="29"/>
      <c r="P3" s="30"/>
      <c r="Q3" s="31"/>
      <c r="R3" s="32"/>
      <c r="S3" s="33"/>
      <c r="T3" s="34"/>
      <c r="U3" s="35"/>
      <c r="V3" s="36"/>
      <c r="W3" s="36"/>
      <c r="X3" s="36"/>
      <c r="Y3" s="37"/>
      <c r="Z3" s="38"/>
      <c r="AA3" s="39"/>
      <c r="AB3" s="39"/>
      <c r="AC3" s="40"/>
      <c r="AD3" s="41"/>
      <c r="AE3" s="41"/>
      <c r="AF3" s="41"/>
      <c r="AG3" s="41"/>
      <c r="AH3" s="37" t="n">
        <f aca="false">SUM(AE3,AG3)</f>
        <v>0</v>
      </c>
      <c r="AI3" s="42"/>
      <c r="AJ3" s="43" t="str">
        <f aca="false">IF(AND(S3&gt;=12,Y3&gt;=12,AH3&gt;=6),"да","нет")</f>
        <v>нет</v>
      </c>
      <c r="AK3" s="2"/>
      <c r="AL3" s="2"/>
      <c r="AM3" s="23" t="n">
        <f aca="false">SUM(S3,Y3,AA3,AB3,AH3,AL3,AK3)</f>
        <v>0</v>
      </c>
      <c r="AN3" s="29" t="str">
        <f aca="false">IF(AND(S3&gt;=12,Y3&gt;=12,AH3&gt;=6,AL3&gt;=24,AM3&gt;=60),"Зачет","Незачет")</f>
        <v>Незачет</v>
      </c>
    </row>
    <row r="4" customFormat="false" ht="15.75" hidden="false" customHeight="false" outlineLevel="0" collapsed="false">
      <c r="A4" s="25" t="n">
        <v>2</v>
      </c>
      <c r="B4" s="26"/>
      <c r="C4" s="27"/>
      <c r="D4" s="27"/>
      <c r="E4" s="28"/>
      <c r="F4" s="28"/>
      <c r="G4" s="28"/>
      <c r="H4" s="28"/>
      <c r="I4" s="28"/>
      <c r="J4" s="28"/>
      <c r="K4" s="28"/>
      <c r="L4" s="28"/>
      <c r="M4" s="29"/>
      <c r="N4" s="29"/>
      <c r="O4" s="29"/>
      <c r="P4" s="30"/>
      <c r="Q4" s="31"/>
      <c r="R4" s="32"/>
      <c r="S4" s="33"/>
      <c r="T4" s="34"/>
      <c r="U4" s="35"/>
      <c r="V4" s="36"/>
      <c r="W4" s="36"/>
      <c r="X4" s="36"/>
      <c r="Y4" s="37"/>
      <c r="Z4" s="38"/>
      <c r="AA4" s="39"/>
      <c r="AB4" s="39"/>
      <c r="AC4" s="40"/>
      <c r="AD4" s="41"/>
      <c r="AE4" s="41"/>
      <c r="AF4" s="41"/>
      <c r="AG4" s="41"/>
      <c r="AH4" s="37" t="n">
        <f aca="false">SUM(AE4,AG4)</f>
        <v>0</v>
      </c>
      <c r="AI4" s="42"/>
      <c r="AJ4" s="43" t="str">
        <f aca="false">IF(AND(S4&gt;=12,Y4&gt;=12,AH4&gt;=6),"да","нет")</f>
        <v>нет</v>
      </c>
      <c r="AK4" s="2"/>
      <c r="AL4" s="2"/>
      <c r="AM4" s="23" t="n">
        <f aca="false">SUM(S4,Y4,AA4,AB4,AH4,AL4,AK4)</f>
        <v>0</v>
      </c>
      <c r="AN4" s="29" t="str">
        <f aca="false">IF(AND(S4&gt;=12,Y4&gt;=12,AH4&gt;=6,AL4&gt;=24,AM4&gt;=60),"Зачет","Незачет")</f>
        <v>Незачет</v>
      </c>
    </row>
    <row r="5" customFormat="false" ht="15.75" hidden="false" customHeight="false" outlineLevel="0" collapsed="false">
      <c r="A5" s="25" t="n">
        <v>3</v>
      </c>
      <c r="B5" s="26"/>
      <c r="C5" s="27"/>
      <c r="D5" s="27"/>
      <c r="E5" s="28"/>
      <c r="F5" s="28"/>
      <c r="G5" s="28"/>
      <c r="H5" s="28"/>
      <c r="I5" s="28"/>
      <c r="J5" s="28"/>
      <c r="K5" s="28"/>
      <c r="L5" s="28"/>
      <c r="M5" s="29"/>
      <c r="N5" s="29"/>
      <c r="O5" s="29"/>
      <c r="P5" s="30"/>
      <c r="Q5" s="31"/>
      <c r="R5" s="32"/>
      <c r="S5" s="33"/>
      <c r="T5" s="34"/>
      <c r="U5" s="35"/>
      <c r="V5" s="36"/>
      <c r="W5" s="36"/>
      <c r="X5" s="36"/>
      <c r="Y5" s="37"/>
      <c r="Z5" s="38"/>
      <c r="AA5" s="39"/>
      <c r="AB5" s="39"/>
      <c r="AC5" s="44"/>
      <c r="AD5" s="36"/>
      <c r="AE5" s="36"/>
      <c r="AF5" s="36"/>
      <c r="AG5" s="36"/>
      <c r="AH5" s="37" t="n">
        <f aca="false">SUM(AE5,AG5)</f>
        <v>0</v>
      </c>
      <c r="AI5" s="42"/>
      <c r="AJ5" s="43" t="str">
        <f aca="false">IF(AND(S5&gt;=12,Y5&gt;=12,AH5&gt;=6),"да","нет")</f>
        <v>нет</v>
      </c>
      <c r="AK5" s="2"/>
      <c r="AL5" s="2"/>
      <c r="AM5" s="23" t="n">
        <f aca="false">SUM(S5,Y5,AA5,AB5,AH5,AL5,AK5)</f>
        <v>0</v>
      </c>
      <c r="AN5" s="29" t="str">
        <f aca="false">IF(AND(S5&gt;=12,Y5&gt;=12,AH5&gt;=6,AL5&gt;=24,AM5&gt;=60),"Зачет","Незачет")</f>
        <v>Незачет</v>
      </c>
    </row>
    <row r="6" customFormat="false" ht="15.75" hidden="false" customHeight="false" outlineLevel="0" collapsed="false">
      <c r="A6" s="25" t="n">
        <v>4</v>
      </c>
      <c r="B6" s="26"/>
      <c r="C6" s="27"/>
      <c r="D6" s="27"/>
      <c r="E6" s="28"/>
      <c r="F6" s="28"/>
      <c r="G6" s="28"/>
      <c r="H6" s="28"/>
      <c r="I6" s="28"/>
      <c r="J6" s="28"/>
      <c r="K6" s="28"/>
      <c r="L6" s="28"/>
      <c r="M6" s="29"/>
      <c r="N6" s="29"/>
      <c r="O6" s="29"/>
      <c r="P6" s="30"/>
      <c r="Q6" s="31"/>
      <c r="R6" s="32"/>
      <c r="S6" s="33"/>
      <c r="T6" s="34"/>
      <c r="U6" s="35"/>
      <c r="V6" s="36"/>
      <c r="W6" s="36"/>
      <c r="X6" s="36"/>
      <c r="Y6" s="37"/>
      <c r="Z6" s="38"/>
      <c r="AA6" s="39"/>
      <c r="AB6" s="39"/>
      <c r="AC6" s="44"/>
      <c r="AD6" s="36"/>
      <c r="AE6" s="36"/>
      <c r="AF6" s="36"/>
      <c r="AG6" s="36"/>
      <c r="AH6" s="37" t="n">
        <f aca="false">SUM(AE6,AG6)</f>
        <v>0</v>
      </c>
      <c r="AI6" s="42"/>
      <c r="AJ6" s="43" t="str">
        <f aca="false">IF(AND(S6&gt;=12,Y6&gt;=12,AH6&gt;=6),"да","нет")</f>
        <v>нет</v>
      </c>
      <c r="AK6" s="2"/>
      <c r="AL6" s="2"/>
      <c r="AM6" s="23" t="n">
        <f aca="false">SUM(S6,Y6,AA6,AB6,AH6,AL6,AK6)</f>
        <v>0</v>
      </c>
      <c r="AN6" s="29" t="str">
        <f aca="false">IF(AND(S6&gt;=12,Y6&gt;=12,AH6&gt;=6,AL6&gt;=24,AM6&gt;=60),"Зачет","Незачет")</f>
        <v>Незачет</v>
      </c>
    </row>
    <row r="7" customFormat="false" ht="15.75" hidden="false" customHeight="false" outlineLevel="0" collapsed="false">
      <c r="A7" s="25" t="n">
        <v>5</v>
      </c>
      <c r="B7" s="26"/>
      <c r="C7" s="27"/>
      <c r="D7" s="27"/>
      <c r="E7" s="28"/>
      <c r="F7" s="28"/>
      <c r="G7" s="28"/>
      <c r="H7" s="28"/>
      <c r="I7" s="28"/>
      <c r="J7" s="28"/>
      <c r="K7" s="28"/>
      <c r="L7" s="28"/>
      <c r="M7" s="29"/>
      <c r="N7" s="29"/>
      <c r="O7" s="29"/>
      <c r="P7" s="30"/>
      <c r="Q7" s="31"/>
      <c r="R7" s="32"/>
      <c r="S7" s="33"/>
      <c r="T7" s="34"/>
      <c r="U7" s="35"/>
      <c r="V7" s="36"/>
      <c r="W7" s="36"/>
      <c r="X7" s="36"/>
      <c r="Y7" s="37"/>
      <c r="Z7" s="38"/>
      <c r="AA7" s="39"/>
      <c r="AB7" s="39"/>
      <c r="AC7" s="40"/>
      <c r="AD7" s="41"/>
      <c r="AE7" s="41"/>
      <c r="AF7" s="41"/>
      <c r="AG7" s="41"/>
      <c r="AH7" s="37" t="n">
        <f aca="false">SUM(AE7,AG7)</f>
        <v>0</v>
      </c>
      <c r="AI7" s="42"/>
      <c r="AJ7" s="43" t="str">
        <f aca="false">IF(AND(S7&gt;=12,Y7&gt;=12,AH7&gt;=6),"да","нет")</f>
        <v>нет</v>
      </c>
      <c r="AK7" s="2"/>
      <c r="AL7" s="2"/>
      <c r="AM7" s="23" t="n">
        <f aca="false">SUM(S7,Y7,AA7,AB7,AH7,AL7,AK7)</f>
        <v>0</v>
      </c>
      <c r="AN7" s="29" t="str">
        <f aca="false">IF(AND(S7&gt;=12,Y7&gt;=12,AH7&gt;=6,AL7&gt;=24,AM7&gt;=60),"Зачет","Незачет")</f>
        <v>Незачет</v>
      </c>
    </row>
    <row r="8" customFormat="false" ht="15.75" hidden="false" customHeight="false" outlineLevel="0" collapsed="false">
      <c r="A8" s="25" t="n">
        <v>6</v>
      </c>
      <c r="B8" s="26"/>
      <c r="C8" s="27"/>
      <c r="D8" s="27"/>
      <c r="E8" s="28"/>
      <c r="F8" s="28"/>
      <c r="G8" s="28"/>
      <c r="H8" s="28"/>
      <c r="I8" s="28"/>
      <c r="J8" s="28"/>
      <c r="K8" s="28"/>
      <c r="L8" s="28"/>
      <c r="M8" s="29"/>
      <c r="N8" s="29"/>
      <c r="O8" s="29"/>
      <c r="P8" s="30"/>
      <c r="Q8" s="31"/>
      <c r="R8" s="32"/>
      <c r="S8" s="33"/>
      <c r="T8" s="34"/>
      <c r="U8" s="35"/>
      <c r="V8" s="36"/>
      <c r="W8" s="36"/>
      <c r="X8" s="36"/>
      <c r="Y8" s="37"/>
      <c r="Z8" s="38"/>
      <c r="AA8" s="39"/>
      <c r="AB8" s="39"/>
      <c r="AC8" s="40"/>
      <c r="AD8" s="41"/>
      <c r="AE8" s="41"/>
      <c r="AF8" s="41"/>
      <c r="AG8" s="41"/>
      <c r="AH8" s="37" t="n">
        <f aca="false">SUM(AE8,AG8)</f>
        <v>0</v>
      </c>
      <c r="AI8" s="42"/>
      <c r="AJ8" s="43" t="str">
        <f aca="false">IF(AND(S8&gt;=12,Y8&gt;=12,AH8&gt;=6),"да","нет")</f>
        <v>нет</v>
      </c>
      <c r="AK8" s="2"/>
      <c r="AL8" s="2"/>
      <c r="AM8" s="23" t="n">
        <f aca="false">SUM(S8,Y8,AA8,AB8,AH8,AL8,AK8)</f>
        <v>0</v>
      </c>
      <c r="AN8" s="29" t="str">
        <f aca="false">IF(AND(S8&gt;=12,Y8&gt;=12,AH8&gt;=6,AL8&gt;=24,AM8&gt;=60),"Зачет","Незачет")</f>
        <v>Незачет</v>
      </c>
    </row>
    <row r="9" customFormat="false" ht="15.75" hidden="false" customHeight="false" outlineLevel="0" collapsed="false">
      <c r="A9" s="25" t="n">
        <v>7</v>
      </c>
      <c r="B9" s="26"/>
      <c r="C9" s="27"/>
      <c r="D9" s="27"/>
      <c r="E9" s="28"/>
      <c r="F9" s="28"/>
      <c r="G9" s="28"/>
      <c r="H9" s="28"/>
      <c r="I9" s="28"/>
      <c r="J9" s="28"/>
      <c r="K9" s="28"/>
      <c r="L9" s="28"/>
      <c r="M9" s="29"/>
      <c r="N9" s="29"/>
      <c r="O9" s="29"/>
      <c r="P9" s="30"/>
      <c r="Q9" s="31"/>
      <c r="R9" s="32"/>
      <c r="S9" s="33"/>
      <c r="T9" s="34"/>
      <c r="U9" s="35"/>
      <c r="V9" s="36"/>
      <c r="W9" s="36"/>
      <c r="X9" s="36"/>
      <c r="Y9" s="37"/>
      <c r="Z9" s="38"/>
      <c r="AA9" s="39"/>
      <c r="AB9" s="39"/>
      <c r="AC9" s="44"/>
      <c r="AD9" s="36"/>
      <c r="AE9" s="36"/>
      <c r="AF9" s="36"/>
      <c r="AG9" s="36"/>
      <c r="AH9" s="37" t="n">
        <f aca="false">SUM(AE9,AG9)</f>
        <v>0</v>
      </c>
      <c r="AI9" s="42"/>
      <c r="AJ9" s="43" t="str">
        <f aca="false">IF(AND(S9&gt;=12,Y9&gt;=12,AH9&gt;=6),"да","нет")</f>
        <v>нет</v>
      </c>
      <c r="AK9" s="2"/>
      <c r="AL9" s="2"/>
      <c r="AM9" s="23" t="n">
        <f aca="false">SUM(S9,Y9,AA9,AB9,AH9,AL9,AK9)</f>
        <v>0</v>
      </c>
      <c r="AN9" s="29" t="str">
        <f aca="false">IF(AND(S9&gt;=12,Y9&gt;=12,AH9&gt;=6,AL9&gt;=24,AM9&gt;=60),"Зачет","Незачет")</f>
        <v>Незачет</v>
      </c>
    </row>
    <row r="10" customFormat="false" ht="15.75" hidden="false" customHeight="false" outlineLevel="0" collapsed="false">
      <c r="A10" s="25" t="n">
        <v>8</v>
      </c>
      <c r="B10" s="26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9"/>
      <c r="N10" s="29"/>
      <c r="O10" s="29"/>
      <c r="P10" s="30"/>
      <c r="Q10" s="31"/>
      <c r="R10" s="32"/>
      <c r="S10" s="33"/>
      <c r="T10" s="34"/>
      <c r="U10" s="35"/>
      <c r="V10" s="36"/>
      <c r="W10" s="36"/>
      <c r="X10" s="36"/>
      <c r="Y10" s="37"/>
      <c r="Z10" s="38"/>
      <c r="AA10" s="39"/>
      <c r="AB10" s="39"/>
      <c r="AC10" s="40"/>
      <c r="AD10" s="41"/>
      <c r="AE10" s="41"/>
      <c r="AF10" s="41"/>
      <c r="AG10" s="41"/>
      <c r="AH10" s="37" t="n">
        <f aca="false">SUM(AE10,AG10)</f>
        <v>0</v>
      </c>
      <c r="AI10" s="42"/>
      <c r="AJ10" s="43" t="str">
        <f aca="false">IF(AND(S10&gt;=12,Y10&gt;=12,AH10&gt;=6),"да","нет")</f>
        <v>нет</v>
      </c>
      <c r="AK10" s="2"/>
      <c r="AL10" s="2"/>
      <c r="AM10" s="23" t="n">
        <f aca="false">SUM(S10,Y10,AA10,AB10,AH10,AL10,AK10)</f>
        <v>0</v>
      </c>
      <c r="AN10" s="29" t="str">
        <f aca="false">IF(AND(S10&gt;=12,Y10&gt;=12,AH10&gt;=6,AL10&gt;=24,AM10&gt;=60),"Зачет","Незачет")</f>
        <v>Незачет</v>
      </c>
    </row>
    <row r="11" customFormat="false" ht="15.75" hidden="false" customHeight="false" outlineLevel="0" collapsed="false">
      <c r="A11" s="25" t="n">
        <v>9</v>
      </c>
      <c r="B11" s="26"/>
      <c r="C11" s="27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29"/>
      <c r="P11" s="30"/>
      <c r="Q11" s="31"/>
      <c r="R11" s="32"/>
      <c r="S11" s="33"/>
      <c r="T11" s="34"/>
      <c r="U11" s="35"/>
      <c r="V11" s="36"/>
      <c r="W11" s="36"/>
      <c r="X11" s="36"/>
      <c r="Y11" s="37"/>
      <c r="Z11" s="38"/>
      <c r="AA11" s="39"/>
      <c r="AB11" s="39"/>
      <c r="AC11" s="40"/>
      <c r="AD11" s="41"/>
      <c r="AE11" s="41"/>
      <c r="AF11" s="41"/>
      <c r="AG11" s="41"/>
      <c r="AH11" s="37" t="n">
        <f aca="false">SUM(AE11,AG11)</f>
        <v>0</v>
      </c>
      <c r="AI11" s="42"/>
      <c r="AJ11" s="43" t="str">
        <f aca="false">IF(AND(S11&gt;=12,Y11&gt;=12,AH11&gt;=6),"да","нет")</f>
        <v>нет</v>
      </c>
      <c r="AK11" s="2"/>
      <c r="AL11" s="2"/>
      <c r="AM11" s="23" t="n">
        <f aca="false">SUM(S11,Y11,AA11,AB11,AH11,AL11,AK11)</f>
        <v>0</v>
      </c>
      <c r="AN11" s="29" t="str">
        <f aca="false">IF(AND(S11&gt;=12,Y11&gt;=12,AH11&gt;=6,AL11&gt;=24,AM11&gt;=60),"Зачет","Незачет")</f>
        <v>Незачет</v>
      </c>
    </row>
    <row r="12" customFormat="false" ht="15.75" hidden="false" customHeight="false" outlineLevel="0" collapsed="false">
      <c r="A12" s="25" t="n">
        <v>10</v>
      </c>
      <c r="B12" s="26"/>
      <c r="C12" s="27"/>
      <c r="D12" s="27"/>
      <c r="E12" s="28"/>
      <c r="F12" s="28"/>
      <c r="G12" s="28"/>
      <c r="H12" s="28"/>
      <c r="I12" s="28"/>
      <c r="J12" s="28"/>
      <c r="K12" s="28"/>
      <c r="L12" s="28"/>
      <c r="M12" s="29"/>
      <c r="N12" s="29"/>
      <c r="O12" s="29"/>
      <c r="P12" s="30"/>
      <c r="Q12" s="31"/>
      <c r="R12" s="32"/>
      <c r="S12" s="33"/>
      <c r="T12" s="34"/>
      <c r="U12" s="35"/>
      <c r="V12" s="36"/>
      <c r="W12" s="36"/>
      <c r="X12" s="36"/>
      <c r="Y12" s="37"/>
      <c r="Z12" s="38"/>
      <c r="AA12" s="39"/>
      <c r="AB12" s="39"/>
      <c r="AC12" s="40"/>
      <c r="AD12" s="41"/>
      <c r="AE12" s="41"/>
      <c r="AF12" s="41"/>
      <c r="AG12" s="41"/>
      <c r="AH12" s="37" t="n">
        <f aca="false">SUM(AE12,AG12)</f>
        <v>0</v>
      </c>
      <c r="AI12" s="42"/>
      <c r="AJ12" s="43" t="str">
        <f aca="false">IF(AND(S12&gt;=12,Y12&gt;=12,AH12&gt;=6),"да","нет")</f>
        <v>нет</v>
      </c>
      <c r="AK12" s="2"/>
      <c r="AL12" s="2"/>
      <c r="AM12" s="23" t="n">
        <f aca="false">SUM(S12,Y12,AA12,AB12,AH12,AL12,AK12)</f>
        <v>0</v>
      </c>
      <c r="AN12" s="29" t="str">
        <f aca="false">IF(AND(S12&gt;=12,Y12&gt;=12,AH12&gt;=6,AL12&gt;=24,AM12&gt;=60),"Зачет","Незачет")</f>
        <v>Незачет</v>
      </c>
    </row>
    <row r="13" customFormat="false" ht="15.75" hidden="false" customHeight="false" outlineLevel="0" collapsed="false">
      <c r="A13" s="25" t="n">
        <v>11</v>
      </c>
      <c r="B13" s="45"/>
      <c r="C13" s="27"/>
      <c r="D13" s="27"/>
      <c r="E13" s="28"/>
      <c r="F13" s="28"/>
      <c r="G13" s="28"/>
      <c r="H13" s="28"/>
      <c r="I13" s="28"/>
      <c r="J13" s="28"/>
      <c r="K13" s="28"/>
      <c r="L13" s="28"/>
      <c r="M13" s="29"/>
      <c r="N13" s="29"/>
      <c r="O13" s="29"/>
      <c r="P13" s="30"/>
      <c r="Q13" s="31"/>
      <c r="R13" s="32"/>
      <c r="S13" s="33"/>
      <c r="T13" s="34"/>
      <c r="U13" s="35"/>
      <c r="V13" s="36"/>
      <c r="W13" s="36"/>
      <c r="X13" s="36"/>
      <c r="Y13" s="37"/>
      <c r="Z13" s="38"/>
      <c r="AA13" s="39"/>
      <c r="AB13" s="39"/>
      <c r="AC13" s="40"/>
      <c r="AD13" s="41"/>
      <c r="AE13" s="41"/>
      <c r="AF13" s="41"/>
      <c r="AG13" s="41"/>
      <c r="AH13" s="37" t="n">
        <f aca="false">SUM(AE13,AG13)</f>
        <v>0</v>
      </c>
      <c r="AI13" s="42"/>
      <c r="AJ13" s="43" t="str">
        <f aca="false">IF(AND(S13&gt;=12,Y13&gt;=12,AH13&gt;=6),"да","нет")</f>
        <v>нет</v>
      </c>
      <c r="AK13" s="2"/>
      <c r="AL13" s="2"/>
      <c r="AM13" s="23" t="n">
        <f aca="false">SUM(S13,Y13,AA13,AB13,AH13,AL13,AK13)</f>
        <v>0</v>
      </c>
      <c r="AN13" s="29" t="str">
        <f aca="false">IF(AND(S13&gt;=12,Y13&gt;=12,AH13&gt;=6,AL13&gt;=24,AM13&gt;=60),"Зачет","Незачет")</f>
        <v>Незачет</v>
      </c>
    </row>
    <row r="14" customFormat="false" ht="15.75" hidden="false" customHeight="false" outlineLevel="0" collapsed="false">
      <c r="A14" s="25" t="n">
        <v>12</v>
      </c>
      <c r="B14" s="26"/>
      <c r="C14" s="27"/>
      <c r="D14" s="27"/>
      <c r="E14" s="28"/>
      <c r="F14" s="28"/>
      <c r="G14" s="28"/>
      <c r="H14" s="28"/>
      <c r="I14" s="28"/>
      <c r="J14" s="28"/>
      <c r="K14" s="28"/>
      <c r="L14" s="28"/>
      <c r="M14" s="29"/>
      <c r="N14" s="29"/>
      <c r="O14" s="29"/>
      <c r="P14" s="30"/>
      <c r="Q14" s="31"/>
      <c r="R14" s="32"/>
      <c r="S14" s="33"/>
      <c r="T14" s="34"/>
      <c r="U14" s="35"/>
      <c r="V14" s="36"/>
      <c r="W14" s="36"/>
      <c r="X14" s="36"/>
      <c r="Y14" s="37"/>
      <c r="Z14" s="38"/>
      <c r="AA14" s="39"/>
      <c r="AB14" s="39"/>
      <c r="AC14" s="40"/>
      <c r="AD14" s="41"/>
      <c r="AE14" s="41"/>
      <c r="AF14" s="41"/>
      <c r="AG14" s="41"/>
      <c r="AH14" s="37" t="n">
        <f aca="false">SUM(AE14,AG14)</f>
        <v>0</v>
      </c>
      <c r="AI14" s="42"/>
      <c r="AJ14" s="43" t="str">
        <f aca="false">IF(AND(S14&gt;=12,Y14&gt;=12,AH14&gt;=6),"да","нет")</f>
        <v>нет</v>
      </c>
      <c r="AK14" s="2"/>
      <c r="AL14" s="2"/>
      <c r="AM14" s="23" t="n">
        <f aca="false">SUM(S14,Y14,AA14,AB14,AH14,AL14,AK14)</f>
        <v>0</v>
      </c>
      <c r="AN14" s="29" t="str">
        <f aca="false">IF(AND(S14&gt;=12,Y14&gt;=12,AH14&gt;=6,AL14&gt;=24,AM14&gt;=60),"Зачет","Незачет")</f>
        <v>Незачет</v>
      </c>
    </row>
    <row r="15" customFormat="false" ht="15.75" hidden="false" customHeight="false" outlineLevel="0" collapsed="false">
      <c r="A15" s="25" t="n">
        <v>13</v>
      </c>
      <c r="B15" s="26"/>
      <c r="C15" s="27"/>
      <c r="D15" s="27"/>
      <c r="E15" s="28"/>
      <c r="F15" s="28"/>
      <c r="G15" s="28"/>
      <c r="H15" s="28"/>
      <c r="I15" s="28"/>
      <c r="J15" s="28"/>
      <c r="K15" s="28"/>
      <c r="L15" s="28"/>
      <c r="M15" s="29"/>
      <c r="N15" s="29"/>
      <c r="O15" s="29"/>
      <c r="P15" s="30"/>
      <c r="Q15" s="31"/>
      <c r="R15" s="32"/>
      <c r="S15" s="33"/>
      <c r="T15" s="34"/>
      <c r="U15" s="35"/>
      <c r="V15" s="36"/>
      <c r="W15" s="36"/>
      <c r="X15" s="36"/>
      <c r="Y15" s="37"/>
      <c r="Z15" s="38"/>
      <c r="AA15" s="39"/>
      <c r="AB15" s="39"/>
      <c r="AC15" s="40"/>
      <c r="AD15" s="41"/>
      <c r="AE15" s="41"/>
      <c r="AF15" s="41"/>
      <c r="AG15" s="41"/>
      <c r="AH15" s="37" t="n">
        <f aca="false">SUM(AE15,AG15)</f>
        <v>0</v>
      </c>
      <c r="AI15" s="42"/>
      <c r="AJ15" s="43" t="str">
        <f aca="false">IF(AND(S15&gt;=12,Y15&gt;=12,AH15&gt;=6),"да","нет")</f>
        <v>нет</v>
      </c>
      <c r="AK15" s="2"/>
      <c r="AL15" s="37"/>
      <c r="AM15" s="23" t="n">
        <f aca="false">SUM(S15,Y15,AA15,AB15,AH15,AL15,AK15)</f>
        <v>0</v>
      </c>
      <c r="AN15" s="29" t="str">
        <f aca="false">IF(AND(S15&gt;=12,Y15&gt;=12,AH15&gt;=6,AL15&gt;=24,AM15&gt;=60),"Зачет","Незачет")</f>
        <v>Незачет</v>
      </c>
    </row>
    <row r="16" customFormat="false" ht="15.75" hidden="false" customHeight="false" outlineLevel="0" collapsed="false">
      <c r="A16" s="25" t="n">
        <v>14</v>
      </c>
      <c r="B16" s="26"/>
      <c r="C16" s="27"/>
      <c r="D16" s="27"/>
      <c r="E16" s="28"/>
      <c r="F16" s="28"/>
      <c r="G16" s="28"/>
      <c r="H16" s="28"/>
      <c r="I16" s="28"/>
      <c r="J16" s="28"/>
      <c r="K16" s="28"/>
      <c r="L16" s="28"/>
      <c r="M16" s="29"/>
      <c r="N16" s="29"/>
      <c r="O16" s="29"/>
      <c r="P16" s="30"/>
      <c r="Q16" s="31"/>
      <c r="R16" s="32"/>
      <c r="S16" s="33"/>
      <c r="T16" s="34"/>
      <c r="U16" s="35"/>
      <c r="V16" s="36"/>
      <c r="W16" s="36"/>
      <c r="X16" s="36"/>
      <c r="Y16" s="37"/>
      <c r="Z16" s="38"/>
      <c r="AA16" s="39"/>
      <c r="AB16" s="39"/>
      <c r="AC16" s="40"/>
      <c r="AD16" s="41"/>
      <c r="AE16" s="41"/>
      <c r="AF16" s="41"/>
      <c r="AG16" s="41"/>
      <c r="AH16" s="37" t="n">
        <f aca="false">SUM(AE16,AG16)</f>
        <v>0</v>
      </c>
      <c r="AI16" s="42"/>
      <c r="AJ16" s="43" t="str">
        <f aca="false">IF(AND(S16&gt;=12,Y16&gt;=12,AH16&gt;=6),"да","нет")</f>
        <v>нет</v>
      </c>
      <c r="AK16" s="2"/>
      <c r="AL16" s="2"/>
      <c r="AM16" s="23" t="n">
        <f aca="false">SUM(S16,Y16,AA16,AB16,AH16,AL16,AK16)</f>
        <v>0</v>
      </c>
      <c r="AN16" s="29" t="str">
        <f aca="false">IF(AND(S16&gt;=12,Y16&gt;=12,AH16&gt;=6,AL16&gt;=24,AM16&gt;=60),"Зачет","Незачет")</f>
        <v>Незачет</v>
      </c>
    </row>
    <row r="17" customFormat="false" ht="15.75" hidden="false" customHeight="false" outlineLevel="0" collapsed="false">
      <c r="A17" s="25" t="n">
        <v>15</v>
      </c>
      <c r="B17" s="26"/>
      <c r="C17" s="27"/>
      <c r="D17" s="27"/>
      <c r="E17" s="28"/>
      <c r="F17" s="28"/>
      <c r="G17" s="28"/>
      <c r="H17" s="28"/>
      <c r="I17" s="28"/>
      <c r="J17" s="28"/>
      <c r="K17" s="28"/>
      <c r="L17" s="28"/>
      <c r="M17" s="29"/>
      <c r="N17" s="29"/>
      <c r="O17" s="29"/>
      <c r="P17" s="30"/>
      <c r="Q17" s="31"/>
      <c r="R17" s="32"/>
      <c r="S17" s="33"/>
      <c r="T17" s="34"/>
      <c r="U17" s="35"/>
      <c r="V17" s="36"/>
      <c r="W17" s="36"/>
      <c r="X17" s="36"/>
      <c r="Y17" s="37"/>
      <c r="Z17" s="38"/>
      <c r="AA17" s="39"/>
      <c r="AB17" s="39"/>
      <c r="AC17" s="44"/>
      <c r="AD17" s="36"/>
      <c r="AE17" s="36"/>
      <c r="AF17" s="36"/>
      <c r="AG17" s="36"/>
      <c r="AH17" s="37" t="n">
        <f aca="false">SUM(AE17,AG17)</f>
        <v>0</v>
      </c>
      <c r="AI17" s="42"/>
      <c r="AJ17" s="43" t="str">
        <f aca="false">IF(AND(S17&gt;=12,Y17&gt;=12,AH17&gt;=6),"да","нет")</f>
        <v>нет</v>
      </c>
      <c r="AK17" s="2"/>
      <c r="AL17" s="2"/>
      <c r="AM17" s="23" t="n">
        <f aca="false">SUM(S17,Y17,AA17,AB17,AH17,AL17,AK17)</f>
        <v>0</v>
      </c>
      <c r="AN17" s="29" t="str">
        <f aca="false">IF(AND(S17&gt;=12,Y17&gt;=12,AH17&gt;=6,AL17&gt;=24,AM17&gt;=60),"Зачет","Незачет")</f>
        <v>Незачет</v>
      </c>
    </row>
    <row r="18" customFormat="false" ht="15.75" hidden="false" customHeight="false" outlineLevel="0" collapsed="false">
      <c r="A18" s="25" t="n">
        <v>16</v>
      </c>
      <c r="B18" s="26"/>
      <c r="C18" s="27"/>
      <c r="D18" s="27"/>
      <c r="E18" s="28"/>
      <c r="F18" s="28"/>
      <c r="G18" s="28"/>
      <c r="H18" s="28"/>
      <c r="I18" s="28"/>
      <c r="J18" s="28"/>
      <c r="K18" s="28"/>
      <c r="L18" s="28"/>
      <c r="M18" s="29"/>
      <c r="N18" s="29"/>
      <c r="O18" s="29"/>
      <c r="P18" s="30"/>
      <c r="Q18" s="31"/>
      <c r="R18" s="32"/>
      <c r="S18" s="33"/>
      <c r="T18" s="34"/>
      <c r="U18" s="35"/>
      <c r="V18" s="36"/>
      <c r="W18" s="36"/>
      <c r="X18" s="36"/>
      <c r="Y18" s="37"/>
      <c r="Z18" s="38"/>
      <c r="AA18" s="39"/>
      <c r="AB18" s="39"/>
      <c r="AC18" s="40"/>
      <c r="AD18" s="41"/>
      <c r="AE18" s="41"/>
      <c r="AF18" s="41"/>
      <c r="AG18" s="41"/>
      <c r="AH18" s="37" t="n">
        <f aca="false">SUM(AE18,AG18)</f>
        <v>0</v>
      </c>
      <c r="AI18" s="42"/>
      <c r="AJ18" s="43" t="str">
        <f aca="false">IF(AND(S18&gt;=12,Y18&gt;=12,AH18&gt;=6),"да","нет")</f>
        <v>нет</v>
      </c>
      <c r="AK18" s="2"/>
      <c r="AL18" s="2"/>
      <c r="AM18" s="23" t="n">
        <f aca="false">SUM(S18,Y18,AA18,AB18,AH18,AL18,AK18)</f>
        <v>0</v>
      </c>
      <c r="AN18" s="29" t="str">
        <f aca="false">IF(AND(S18&gt;=12,Y18&gt;=12,AH18&gt;=6,AL18&gt;=24,AM18&gt;=60),"Зачет","Незачет")</f>
        <v>Незачет</v>
      </c>
    </row>
    <row r="19" customFormat="false" ht="15.75" hidden="false" customHeight="false" outlineLevel="0" collapsed="false">
      <c r="A19" s="25" t="n">
        <v>17</v>
      </c>
      <c r="B19" s="26"/>
      <c r="C19" s="27"/>
      <c r="D19" s="27"/>
      <c r="E19" s="28"/>
      <c r="F19" s="28"/>
      <c r="G19" s="28"/>
      <c r="H19" s="28"/>
      <c r="I19" s="28"/>
      <c r="J19" s="28"/>
      <c r="K19" s="28"/>
      <c r="L19" s="28"/>
      <c r="M19" s="29"/>
      <c r="N19" s="29"/>
      <c r="O19" s="29"/>
      <c r="P19" s="30"/>
      <c r="Q19" s="31"/>
      <c r="R19" s="32"/>
      <c r="S19" s="33"/>
      <c r="T19" s="34"/>
      <c r="U19" s="35"/>
      <c r="V19" s="36"/>
      <c r="W19" s="36"/>
      <c r="X19" s="36"/>
      <c r="Y19" s="37"/>
      <c r="Z19" s="38"/>
      <c r="AA19" s="39"/>
      <c r="AB19" s="39"/>
      <c r="AC19" s="40"/>
      <c r="AD19" s="41"/>
      <c r="AE19" s="41"/>
      <c r="AF19" s="41"/>
      <c r="AG19" s="41"/>
      <c r="AH19" s="37" t="n">
        <f aca="false">SUM(AE19,AG19)</f>
        <v>0</v>
      </c>
      <c r="AI19" s="42"/>
      <c r="AJ19" s="43" t="str">
        <f aca="false">IF(AND(S19&gt;=12,Y19&gt;=12,AH19&gt;=6),"да","нет")</f>
        <v>нет</v>
      </c>
      <c r="AK19" s="2"/>
      <c r="AL19" s="2"/>
      <c r="AM19" s="23" t="n">
        <f aca="false">SUM(S19,Y19,AA19,AB19,AH19,AL19,AK19)</f>
        <v>0</v>
      </c>
      <c r="AN19" s="29" t="str">
        <f aca="false">IF(AND(S19&gt;=12,Y19&gt;=12,AH19&gt;=6,AL19&gt;=24,AM19&gt;=60),"Зачет","Незачет")</f>
        <v>Незачет</v>
      </c>
    </row>
    <row r="20" customFormat="false" ht="15.75" hidden="false" customHeight="false" outlineLevel="0" collapsed="false">
      <c r="A20" s="25" t="n">
        <v>18</v>
      </c>
      <c r="B20" s="26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9"/>
      <c r="N20" s="29"/>
      <c r="O20" s="29"/>
      <c r="P20" s="30"/>
      <c r="Q20" s="46"/>
      <c r="R20" s="36"/>
      <c r="S20" s="37"/>
      <c r="T20" s="47"/>
      <c r="U20" s="2"/>
      <c r="V20" s="36"/>
      <c r="W20" s="36"/>
      <c r="X20" s="36"/>
      <c r="Y20" s="37"/>
      <c r="Z20" s="38"/>
      <c r="AA20" s="39"/>
      <c r="AB20" s="39"/>
      <c r="AC20" s="48"/>
      <c r="AD20" s="28"/>
      <c r="AE20" s="28"/>
      <c r="AF20" s="28"/>
      <c r="AG20" s="28"/>
      <c r="AH20" s="37" t="n">
        <f aca="false">SUM(AE20,AG20)</f>
        <v>0</v>
      </c>
      <c r="AI20" s="42"/>
      <c r="AJ20" s="43" t="str">
        <f aca="false">IF(AND(S20&gt;=12,Y20&gt;=12,AH20&gt;=6),"да","нет")</f>
        <v>нет</v>
      </c>
      <c r="AK20" s="2"/>
      <c r="AL20" s="2"/>
      <c r="AM20" s="23" t="n">
        <f aca="false">SUM(S20,Y20,AA20,AB20,AH20,AL20,AK20)</f>
        <v>0</v>
      </c>
      <c r="AN20" s="29" t="str">
        <f aca="false">IF(AND(S20&gt;=12,Y20&gt;=12,AH20&gt;=6,AL20&gt;=24,AM20&gt;=60),"Зачет","Незачет")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28"/>
      <c r="AH21" s="37" t="n">
        <f aca="false">SUM(AE21,AG21)</f>
        <v>0</v>
      </c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0</v>
      </c>
      <c r="G25" s="37" t="n">
        <f aca="false">COUNTIF(G$3:G$23, "~**")</f>
        <v>0</v>
      </c>
      <c r="H25" s="37" t="n">
        <f aca="false">COUNTIF(H$3:H$23, "~**")</f>
        <v>0</v>
      </c>
      <c r="I25" s="37" t="n">
        <f aca="false">COUNTIF(I$3:I$23, "~**")</f>
        <v>0</v>
      </c>
      <c r="J25" s="37" t="n">
        <f aca="false">COUNTIF(J$3:J$23, "~**")</f>
        <v>0</v>
      </c>
      <c r="K25" s="37" t="n">
        <f aca="false">COUNTIF(K$3:K$23, "~**")</f>
        <v>0</v>
      </c>
      <c r="L25" s="37" t="n">
        <f aca="false">COUNTIF(L$3:L$23, "~**")</f>
        <v>0</v>
      </c>
      <c r="M25" s="54" t="n">
        <f aca="false">COUNTIF(M$3:M$23, "~**")</f>
        <v>0</v>
      </c>
      <c r="N25" s="54" t="n">
        <f aca="false">COUNTIF(N$3:N$23, "~**")</f>
        <v>0</v>
      </c>
      <c r="O25" s="54" t="n">
        <f aca="false">COUNTIF(O$3:O$23, "~**")</f>
        <v>0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0</v>
      </c>
      <c r="F26" s="37" t="n">
        <f aca="false">COUNTIF(F$3:F$23, "~**")+COUNTIF(F$3:F$23, "Y")</f>
        <v>0</v>
      </c>
      <c r="G26" s="37" t="n">
        <f aca="false">COUNTIF(G$3:G$23, "~**")+COUNTIF(G$3:G$23, "Y")</f>
        <v>0</v>
      </c>
      <c r="H26" s="37" t="n">
        <f aca="false">COUNTIF(H$3:H$23, "~**")+COUNTIF(H$3:H$23, "Y")</f>
        <v>0</v>
      </c>
      <c r="I26" s="37" t="n">
        <f aca="false">COUNTIF(I$3:I$23, "~**")+COUNTIF(I$3:I$23, "Y")</f>
        <v>0</v>
      </c>
      <c r="J26" s="37" t="n">
        <f aca="false">COUNTIF(J$3:J$23, "~**")+COUNTIF(J$3:J$23, "Y")</f>
        <v>0</v>
      </c>
      <c r="K26" s="37" t="n">
        <f aca="false">COUNTIF(K$3:K$23, "~**")+COUNTIF(K$3:K$23, "Y")</f>
        <v>0</v>
      </c>
      <c r="L26" s="37" t="n">
        <f aca="false">COUNTIF(L$3:L$23, "~**")+COUNTIF(L$3:L$23, "Y")</f>
        <v>0</v>
      </c>
      <c r="M26" s="54" t="n">
        <f aca="false">COUNTIF(M$3:M$23, "~**")+COUNTIF(M$3:M$23, "Y")</f>
        <v>0</v>
      </c>
      <c r="N26" s="54" t="n">
        <f aca="false">COUNTIF(N$3:N$23, "~**")+COUNTIF(N$3:N$23, "Y")</f>
        <v>0</v>
      </c>
      <c r="O26" s="54" t="n">
        <f aca="false">COUNTIF(O$3:O$23, "~**")+COUNTIF(O$3:O$23, "Y")</f>
        <v>0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</v>
      </c>
      <c r="T28" s="62"/>
      <c r="U28" s="61"/>
      <c r="V28" s="61"/>
      <c r="W28" s="61"/>
      <c r="X28" s="61"/>
      <c r="Y28" s="61" t="n">
        <f aca="false">IFERROR(COUNTA(Y$3:Y23)/COUNTA($B$3:$B$23), 0)</f>
        <v>0</v>
      </c>
      <c r="Z28" s="63"/>
      <c r="AA28" s="2"/>
      <c r="AB28" s="2"/>
      <c r="AC28" s="57"/>
      <c r="AE28" s="61" t="n">
        <f aca="false">IFERROR(COUNTIF(AE$3:AE23, "&gt;0")/COUNTA($B$3:$B$22), 0)</f>
        <v>0</v>
      </c>
      <c r="AG28" s="61" t="n">
        <f aca="false">IFERROR(COUNTIF(AG$3:AG23, "&gt;0")/COUNTA($B$3:$B$22), 0)</f>
        <v>0</v>
      </c>
      <c r="AH28" s="61" t="n">
        <f aca="false">IFERROR(COUNTIF(AH$3:AH23, "&gt;0")/COUNTA($B$3:$B$22), 0)</f>
        <v>0</v>
      </c>
      <c r="AI28" s="64"/>
      <c r="AJ28" s="65"/>
      <c r="AK28" s="2"/>
      <c r="AL28" s="61" t="n">
        <f aca="false">IFERROR(COUNTIF(AL$3:AL23, "&gt;24")/COUNTA($B$3:$B$22), 0)</f>
        <v>0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 M11">
    <cfRule type="cellIs" priority="5" operator="equal" aboveAverage="0" equalAverage="0" bottom="0" percent="0" rank="0" text="" dxfId="3">
      <formula>"N"</formula>
    </cfRule>
  </conditionalFormatting>
  <conditionalFormatting sqref="S3:S23 Y3:AB23 AH3:AH23 AK3:AL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3">
    <cfRule type="expression" priority="7" aboveAverage="0" equalAverage="0" bottom="0" percent="0" rank="0" text="" dxfId="5">
      <formula>R3&gt;45230</formula>
    </cfRule>
  </conditionalFormatting>
  <conditionalFormatting sqref="V3:X23 AC3:AG23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/>
      <c r="B1" s="2" t="s">
        <v>535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45560</v>
      </c>
      <c r="F2" s="15" t="n">
        <f aca="false">E2+14</f>
        <v>45574</v>
      </c>
      <c r="G2" s="15" t="n">
        <f aca="false">F2+14</f>
        <v>45588</v>
      </c>
      <c r="H2" s="15" t="n">
        <f aca="false">G2+14</f>
        <v>45602</v>
      </c>
      <c r="I2" s="15" t="n">
        <f aca="false">H2+14</f>
        <v>45616</v>
      </c>
      <c r="J2" s="15" t="n">
        <f aca="false">I2+14</f>
        <v>45630</v>
      </c>
      <c r="K2" s="15" t="n">
        <f aca="false">J2+14</f>
        <v>45644</v>
      </c>
      <c r="L2" s="15" t="n">
        <f aca="false">J2+5</f>
        <v>45635</v>
      </c>
      <c r="M2" s="16" t="n">
        <v>45652</v>
      </c>
      <c r="N2" s="17" t="n">
        <v>45673</v>
      </c>
      <c r="O2" s="17" t="n">
        <v>45681</v>
      </c>
      <c r="P2" s="18"/>
      <c r="Q2" s="19" t="s">
        <v>17</v>
      </c>
      <c r="R2" s="20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117" t="s">
        <v>99</v>
      </c>
      <c r="C3" s="27" t="s">
        <v>100</v>
      </c>
      <c r="D3" s="27" t="n">
        <v>471668</v>
      </c>
      <c r="E3" s="28" t="s">
        <v>518</v>
      </c>
      <c r="F3" s="28" t="s">
        <v>45</v>
      </c>
      <c r="G3" s="28" t="s">
        <v>518</v>
      </c>
      <c r="H3" s="28" t="s">
        <v>518</v>
      </c>
      <c r="I3" s="28" t="s">
        <v>518</v>
      </c>
      <c r="J3" s="28" t="s">
        <v>518</v>
      </c>
      <c r="K3" s="28" t="s">
        <v>518</v>
      </c>
      <c r="L3" s="28" t="s">
        <v>518</v>
      </c>
      <c r="M3" s="29" t="s">
        <v>518</v>
      </c>
      <c r="N3" s="29" t="s">
        <v>518</v>
      </c>
      <c r="O3" s="29" t="s">
        <v>518</v>
      </c>
      <c r="P3" s="30"/>
      <c r="Q3" s="31" t="n">
        <v>1201</v>
      </c>
      <c r="R3" s="32"/>
      <c r="S3" s="33"/>
      <c r="T3" s="34"/>
      <c r="U3" s="35"/>
      <c r="V3" s="36"/>
      <c r="W3" s="36"/>
      <c r="X3" s="36"/>
      <c r="Y3" s="37"/>
      <c r="Z3" s="38"/>
      <c r="AA3" s="39"/>
      <c r="AB3" s="39"/>
      <c r="AC3" s="40"/>
      <c r="AD3" s="41" t="n">
        <v>45703</v>
      </c>
      <c r="AE3" s="28" t="n">
        <v>5</v>
      </c>
      <c r="AF3" s="41" t="n">
        <v>45703</v>
      </c>
      <c r="AG3" s="28" t="n">
        <v>1</v>
      </c>
      <c r="AH3" s="37" t="n">
        <f aca="false">SUM(AE3,AG3)</f>
        <v>6</v>
      </c>
      <c r="AI3" s="42"/>
      <c r="AJ3" s="43" t="str">
        <f aca="false">IF(AND(S3&gt;=12,Y3&gt;=12,AH3&gt;=6),"да","нет")</f>
        <v>нет</v>
      </c>
      <c r="AK3" s="2"/>
      <c r="AL3" s="28" t="n">
        <v>0</v>
      </c>
      <c r="AM3" s="23" t="n">
        <f aca="false">SUM(S3,Y3,AA3,AB3,AH3,AL3,AK3)</f>
        <v>6</v>
      </c>
      <c r="AN3" s="29" t="str">
        <f aca="false">IF(AND(S3&gt;=12,Y3&gt;=12,AH3&gt;=6,AL3&gt;=24,AM3&gt;=60),"Зачет","Незачет")</f>
        <v>Незачет</v>
      </c>
    </row>
    <row r="4" customFormat="false" ht="15.75" hidden="false" customHeight="false" outlineLevel="0" collapsed="false">
      <c r="A4" s="25" t="n">
        <v>2</v>
      </c>
      <c r="B4" s="26" t="s">
        <v>115</v>
      </c>
      <c r="C4" s="27" t="s">
        <v>100</v>
      </c>
      <c r="D4" s="27" t="n">
        <v>465211</v>
      </c>
      <c r="E4" s="28" t="s">
        <v>45</v>
      </c>
      <c r="F4" s="28" t="s">
        <v>519</v>
      </c>
      <c r="G4" s="28" t="s">
        <v>519</v>
      </c>
      <c r="H4" s="28" t="s">
        <v>519</v>
      </c>
      <c r="I4" s="28" t="s">
        <v>45</v>
      </c>
      <c r="J4" s="28" t="s">
        <v>519</v>
      </c>
      <c r="K4" s="28" t="s">
        <v>518</v>
      </c>
      <c r="L4" s="28" t="s">
        <v>519</v>
      </c>
      <c r="M4" s="29" t="s">
        <v>518</v>
      </c>
      <c r="N4" s="29" t="s">
        <v>518</v>
      </c>
      <c r="O4" s="29" t="s">
        <v>518</v>
      </c>
      <c r="P4" s="30"/>
      <c r="Q4" s="31" t="n">
        <v>1202</v>
      </c>
      <c r="R4" s="32" t="n">
        <f aca="false">H2</f>
        <v>45602</v>
      </c>
      <c r="S4" s="33" t="n">
        <v>18</v>
      </c>
      <c r="T4" s="34"/>
      <c r="U4" s="35" t="n">
        <v>1205</v>
      </c>
      <c r="V4" s="36" t="n">
        <f aca="false">J2</f>
        <v>45630</v>
      </c>
      <c r="W4" s="36" t="n">
        <f aca="false">J2</f>
        <v>45630</v>
      </c>
      <c r="X4" s="36" t="n">
        <f aca="false">L2</f>
        <v>45635</v>
      </c>
      <c r="Y4" s="37" t="n">
        <v>19</v>
      </c>
      <c r="Z4" s="38"/>
      <c r="AA4" s="39"/>
      <c r="AB4" s="39"/>
      <c r="AC4" s="40"/>
      <c r="AD4" s="41" t="n">
        <v>45646</v>
      </c>
      <c r="AE4" s="28" t="n">
        <v>10</v>
      </c>
      <c r="AF4" s="41"/>
      <c r="AG4" s="41"/>
      <c r="AH4" s="37" t="n">
        <f aca="false">SUM(AE4,AG4)</f>
        <v>10</v>
      </c>
      <c r="AI4" s="42"/>
      <c r="AJ4" s="43" t="str">
        <f aca="false">IF(AND(S4&gt;=12,Y4&gt;=12,AH4&gt;=6),"да","нет")</f>
        <v>да</v>
      </c>
      <c r="AK4" s="2"/>
      <c r="AL4" s="28" t="n">
        <v>40</v>
      </c>
      <c r="AM4" s="23" t="n">
        <f aca="false">SUM(S4,Y4,AA4,AB4,AH4,AL4,AK4)</f>
        <v>87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158</v>
      </c>
      <c r="C5" s="27" t="s">
        <v>100</v>
      </c>
      <c r="D5" s="27" t="n">
        <v>465561</v>
      </c>
      <c r="E5" s="28" t="s">
        <v>45</v>
      </c>
      <c r="F5" s="28" t="s">
        <v>45</v>
      </c>
      <c r="G5" s="28" t="s">
        <v>519</v>
      </c>
      <c r="H5" s="28" t="s">
        <v>519</v>
      </c>
      <c r="I5" s="28" t="s">
        <v>45</v>
      </c>
      <c r="J5" s="28" t="s">
        <v>45</v>
      </c>
      <c r="K5" s="28" t="s">
        <v>518</v>
      </c>
      <c r="L5" s="28" t="s">
        <v>519</v>
      </c>
      <c r="M5" s="29" t="s">
        <v>518</v>
      </c>
      <c r="N5" s="29" t="s">
        <v>518</v>
      </c>
      <c r="O5" s="29" t="s">
        <v>518</v>
      </c>
      <c r="P5" s="30"/>
      <c r="Q5" s="31" t="n">
        <v>1203</v>
      </c>
      <c r="R5" s="32" t="n">
        <f aca="false">H2</f>
        <v>45602</v>
      </c>
      <c r="S5" s="33" t="n">
        <v>20</v>
      </c>
      <c r="T5" s="34"/>
      <c r="U5" s="35" t="n">
        <v>1204</v>
      </c>
      <c r="V5" s="36" t="n">
        <f aca="false">J2</f>
        <v>45630</v>
      </c>
      <c r="W5" s="36" t="n">
        <f aca="false">L2</f>
        <v>45635</v>
      </c>
      <c r="X5" s="36" t="n">
        <f aca="false">L2</f>
        <v>45635</v>
      </c>
      <c r="Y5" s="37" t="n">
        <v>20</v>
      </c>
      <c r="Z5" s="38"/>
      <c r="AA5" s="39"/>
      <c r="AB5" s="39"/>
      <c r="AC5" s="44"/>
      <c r="AD5" s="41" t="n">
        <v>45646</v>
      </c>
      <c r="AE5" s="28" t="n">
        <v>10</v>
      </c>
      <c r="AF5" s="36"/>
      <c r="AG5" s="36"/>
      <c r="AH5" s="37" t="n">
        <f aca="false">SUM(AE5,AG5)</f>
        <v>10</v>
      </c>
      <c r="AI5" s="42"/>
      <c r="AJ5" s="43" t="str">
        <f aca="false">IF(AND(S5&gt;=12,Y5&gt;=12,AH5&gt;=6),"да","нет")</f>
        <v>да</v>
      </c>
      <c r="AK5" s="2"/>
      <c r="AL5" s="28" t="n">
        <v>40</v>
      </c>
      <c r="AM5" s="23" t="n">
        <f aca="false">SUM(S5,Y5,AA5,AB5,AH5,AL5,AK5)</f>
        <v>90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159</v>
      </c>
      <c r="C6" s="27" t="s">
        <v>100</v>
      </c>
      <c r="D6" s="27" t="n">
        <v>465567</v>
      </c>
      <c r="E6" s="28" t="s">
        <v>45</v>
      </c>
      <c r="F6" s="28" t="s">
        <v>45</v>
      </c>
      <c r="G6" s="28" t="s">
        <v>45</v>
      </c>
      <c r="H6" s="28" t="s">
        <v>519</v>
      </c>
      <c r="I6" s="28" t="s">
        <v>45</v>
      </c>
      <c r="J6" s="28" t="s">
        <v>45</v>
      </c>
      <c r="K6" s="28" t="s">
        <v>519</v>
      </c>
      <c r="L6" s="28" t="s">
        <v>518</v>
      </c>
      <c r="M6" s="29" t="s">
        <v>522</v>
      </c>
      <c r="N6" s="29" t="s">
        <v>519</v>
      </c>
      <c r="O6" s="29" t="s">
        <v>518</v>
      </c>
      <c r="P6" s="30"/>
      <c r="Q6" s="31" t="n">
        <v>1204</v>
      </c>
      <c r="R6" s="32" t="n">
        <f aca="false">J2</f>
        <v>45630</v>
      </c>
      <c r="S6" s="33" t="n">
        <v>17.5</v>
      </c>
      <c r="T6" s="34"/>
      <c r="U6" s="35" t="n">
        <v>1212</v>
      </c>
      <c r="V6" s="36" t="n">
        <f aca="false">M2</f>
        <v>45652</v>
      </c>
      <c r="W6" s="36" t="n">
        <f aca="false">M2</f>
        <v>45652</v>
      </c>
      <c r="X6" s="36" t="n">
        <f aca="false">N2</f>
        <v>45673</v>
      </c>
      <c r="Y6" s="37" t="n">
        <v>19</v>
      </c>
      <c r="Z6" s="38"/>
      <c r="AA6" s="39"/>
      <c r="AB6" s="39"/>
      <c r="AC6" s="44"/>
      <c r="AD6" s="41" t="n">
        <v>45646</v>
      </c>
      <c r="AE6" s="28" t="n">
        <v>10</v>
      </c>
      <c r="AF6" s="36"/>
      <c r="AG6" s="36"/>
      <c r="AH6" s="37" t="n">
        <f aca="false">SUM(AE6,AG6)</f>
        <v>10</v>
      </c>
      <c r="AI6" s="42"/>
      <c r="AJ6" s="43" t="str">
        <f aca="false">IF(AND(S6&gt;=12,Y6&gt;=12,AH6&gt;=6),"да","нет")</f>
        <v>да</v>
      </c>
      <c r="AK6" s="2"/>
      <c r="AL6" s="28" t="n">
        <v>40</v>
      </c>
      <c r="AM6" s="23" t="n">
        <f aca="false">SUM(S6,Y6,AA6,AB6,AH6,AL6,AK6)</f>
        <v>86.5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199</v>
      </c>
      <c r="C7" s="27" t="s">
        <v>100</v>
      </c>
      <c r="D7" s="27" t="n">
        <v>465917</v>
      </c>
      <c r="E7" s="28" t="s">
        <v>45</v>
      </c>
      <c r="F7" s="28" t="s">
        <v>519</v>
      </c>
      <c r="G7" s="28" t="s">
        <v>45</v>
      </c>
      <c r="H7" s="28" t="s">
        <v>519</v>
      </c>
      <c r="I7" s="28" t="s">
        <v>519</v>
      </c>
      <c r="J7" s="28" t="s">
        <v>45</v>
      </c>
      <c r="K7" s="28" t="s">
        <v>519</v>
      </c>
      <c r="L7" s="28" t="s">
        <v>518</v>
      </c>
      <c r="M7" s="29" t="s">
        <v>519</v>
      </c>
      <c r="N7" s="29" t="s">
        <v>518</v>
      </c>
      <c r="O7" s="29" t="s">
        <v>518</v>
      </c>
      <c r="P7" s="30"/>
      <c r="Q7" s="31" t="n">
        <v>1205</v>
      </c>
      <c r="R7" s="32" t="n">
        <f aca="false">I2</f>
        <v>45616</v>
      </c>
      <c r="S7" s="33" t="n">
        <v>19</v>
      </c>
      <c r="T7" s="34"/>
      <c r="U7" s="35" t="n">
        <v>1207</v>
      </c>
      <c r="V7" s="36" t="n">
        <f aca="false">K2</f>
        <v>45644</v>
      </c>
      <c r="W7" s="36" t="n">
        <f aca="false">K2</f>
        <v>45644</v>
      </c>
      <c r="X7" s="36" t="n">
        <f aca="false">M2</f>
        <v>45652</v>
      </c>
      <c r="Y7" s="37" t="n">
        <v>19</v>
      </c>
      <c r="Z7" s="38"/>
      <c r="AA7" s="39"/>
      <c r="AB7" s="39"/>
      <c r="AC7" s="40"/>
      <c r="AD7" s="41" t="n">
        <v>45646</v>
      </c>
      <c r="AE7" s="28" t="n">
        <v>9</v>
      </c>
      <c r="AF7" s="41"/>
      <c r="AG7" s="41"/>
      <c r="AH7" s="37" t="n">
        <f aca="false">SUM(AE7,AG7)</f>
        <v>9</v>
      </c>
      <c r="AI7" s="42"/>
      <c r="AJ7" s="43" t="str">
        <f aca="false">IF(AND(S7&gt;=12,Y7&gt;=12,AH7&gt;=6),"да","нет")</f>
        <v>да</v>
      </c>
      <c r="AK7" s="2"/>
      <c r="AL7" s="28" t="n">
        <v>40</v>
      </c>
      <c r="AM7" s="23" t="n">
        <f aca="false">SUM(S7,Y7,AA7,AB7,AH7,AL7,AK7)</f>
        <v>87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205</v>
      </c>
      <c r="C8" s="27" t="s">
        <v>100</v>
      </c>
      <c r="D8" s="27" t="n">
        <v>465987</v>
      </c>
      <c r="E8" s="28" t="s">
        <v>45</v>
      </c>
      <c r="F8" s="28" t="s">
        <v>519</v>
      </c>
      <c r="G8" s="28" t="s">
        <v>519</v>
      </c>
      <c r="H8" s="28" t="s">
        <v>518</v>
      </c>
      <c r="I8" s="28" t="s">
        <v>519</v>
      </c>
      <c r="J8" s="28" t="s">
        <v>45</v>
      </c>
      <c r="K8" s="28" t="s">
        <v>45</v>
      </c>
      <c r="L8" s="28" t="s">
        <v>518</v>
      </c>
      <c r="M8" s="29" t="s">
        <v>518</v>
      </c>
      <c r="N8" s="29" t="s">
        <v>518</v>
      </c>
      <c r="O8" s="29" t="s">
        <v>518</v>
      </c>
      <c r="P8" s="30"/>
      <c r="Q8" s="31" t="n">
        <v>1206</v>
      </c>
      <c r="R8" s="32" t="n">
        <f aca="false">I2</f>
        <v>45616</v>
      </c>
      <c r="S8" s="33" t="n">
        <v>18</v>
      </c>
      <c r="T8" s="34"/>
      <c r="U8" s="35" t="n">
        <v>1208</v>
      </c>
      <c r="V8" s="36" t="n">
        <f aca="false">J2</f>
        <v>45630</v>
      </c>
      <c r="W8" s="36" t="n">
        <f aca="false">L2</f>
        <v>45635</v>
      </c>
      <c r="X8" s="36" t="n">
        <f aca="false">K2</f>
        <v>45644</v>
      </c>
      <c r="Y8" s="37" t="n">
        <v>18</v>
      </c>
      <c r="Z8" s="38"/>
      <c r="AA8" s="39"/>
      <c r="AB8" s="39"/>
      <c r="AC8" s="40"/>
      <c r="AD8" s="41" t="n">
        <v>45646</v>
      </c>
      <c r="AE8" s="28" t="n">
        <v>6</v>
      </c>
      <c r="AF8" s="41"/>
      <c r="AG8" s="41"/>
      <c r="AH8" s="37" t="n">
        <f aca="false">SUM(AE8,AG8)</f>
        <v>6</v>
      </c>
      <c r="AI8" s="42"/>
      <c r="AJ8" s="43" t="str">
        <f aca="false">IF(AND(S8&gt;=12,Y8&gt;=12,AH8&gt;=6),"да","нет")</f>
        <v>да</v>
      </c>
      <c r="AK8" s="2"/>
      <c r="AL8" s="28" t="n">
        <v>40</v>
      </c>
      <c r="AM8" s="23" t="n">
        <f aca="false">SUM(S8,Y8,AA8,AB8,AH8,AL8,AK8)</f>
        <v>82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221</v>
      </c>
      <c r="C9" s="27" t="s">
        <v>100</v>
      </c>
      <c r="D9" s="27" t="n">
        <v>466114</v>
      </c>
      <c r="E9" s="28" t="s">
        <v>45</v>
      </c>
      <c r="F9" s="28" t="s">
        <v>45</v>
      </c>
      <c r="G9" s="28" t="s">
        <v>45</v>
      </c>
      <c r="H9" s="28" t="s">
        <v>45</v>
      </c>
      <c r="I9" s="28" t="s">
        <v>519</v>
      </c>
      <c r="J9" s="28" t="s">
        <v>45</v>
      </c>
      <c r="K9" s="28" t="s">
        <v>519</v>
      </c>
      <c r="L9" s="28" t="s">
        <v>518</v>
      </c>
      <c r="M9" s="29" t="s">
        <v>518</v>
      </c>
      <c r="N9" s="29" t="s">
        <v>519</v>
      </c>
      <c r="O9" s="29" t="s">
        <v>519</v>
      </c>
      <c r="P9" s="30"/>
      <c r="Q9" s="31" t="n">
        <v>1207</v>
      </c>
      <c r="R9" s="32" t="n">
        <f aca="false">K2</f>
        <v>45644</v>
      </c>
      <c r="S9" s="33" t="n">
        <v>17</v>
      </c>
      <c r="T9" s="34"/>
      <c r="U9" s="35" t="n">
        <v>228288</v>
      </c>
      <c r="V9" s="36" t="n">
        <f aca="false">N2</f>
        <v>45673</v>
      </c>
      <c r="W9" s="36" t="n">
        <f aca="false">O2</f>
        <v>45681</v>
      </c>
      <c r="X9" s="36" t="n">
        <f aca="false">O2</f>
        <v>45681</v>
      </c>
      <c r="Y9" s="37" t="n">
        <v>18</v>
      </c>
      <c r="Z9" s="38"/>
      <c r="AA9" s="39"/>
      <c r="AB9" s="39"/>
      <c r="AC9" s="44"/>
      <c r="AD9" s="41" t="n">
        <v>45675</v>
      </c>
      <c r="AE9" s="28" t="n">
        <v>5</v>
      </c>
      <c r="AF9" s="36" t="n">
        <f aca="false">AD9</f>
        <v>45675</v>
      </c>
      <c r="AG9" s="28" t="n">
        <v>1</v>
      </c>
      <c r="AH9" s="37" t="n">
        <f aca="false">SUM(AE9,AG9)</f>
        <v>6</v>
      </c>
      <c r="AI9" s="42"/>
      <c r="AJ9" s="43" t="str">
        <f aca="false">IF(AND(S9&gt;=12,Y9&gt;=12,AH9&gt;=6),"да","нет")</f>
        <v>да</v>
      </c>
      <c r="AK9" s="2"/>
      <c r="AL9" s="28" t="n">
        <v>40</v>
      </c>
      <c r="AM9" s="23" t="n">
        <f aca="false">SUM(S9,Y9,AA9,AB9,AH9,AL9,AK9)</f>
        <v>81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233</v>
      </c>
      <c r="C10" s="27" t="s">
        <v>100</v>
      </c>
      <c r="D10" s="27" t="n">
        <v>466217</v>
      </c>
      <c r="E10" s="28" t="s">
        <v>45</v>
      </c>
      <c r="F10" s="28" t="s">
        <v>45</v>
      </c>
      <c r="G10" s="28" t="s">
        <v>519</v>
      </c>
      <c r="H10" s="28" t="s">
        <v>518</v>
      </c>
      <c r="I10" s="28" t="s">
        <v>519</v>
      </c>
      <c r="J10" s="28" t="s">
        <v>519</v>
      </c>
      <c r="K10" s="28" t="s">
        <v>518</v>
      </c>
      <c r="L10" s="28" t="s">
        <v>518</v>
      </c>
      <c r="M10" s="29" t="s">
        <v>518</v>
      </c>
      <c r="N10" s="29" t="s">
        <v>518</v>
      </c>
      <c r="O10" s="29" t="s">
        <v>518</v>
      </c>
      <c r="P10" s="30"/>
      <c r="Q10" s="31" t="n">
        <v>1208</v>
      </c>
      <c r="R10" s="32" t="n">
        <f aca="false">I2</f>
        <v>45616</v>
      </c>
      <c r="S10" s="33" t="n">
        <v>18</v>
      </c>
      <c r="T10" s="34"/>
      <c r="U10" s="35" t="n">
        <v>1206</v>
      </c>
      <c r="V10" s="36" t="n">
        <f aca="false">J2</f>
        <v>45630</v>
      </c>
      <c r="W10" s="36" t="n">
        <f aca="false">J2</f>
        <v>45630</v>
      </c>
      <c r="X10" s="36" t="n">
        <f aca="false">J2</f>
        <v>45630</v>
      </c>
      <c r="Y10" s="37" t="n">
        <v>20</v>
      </c>
      <c r="Z10" s="38"/>
      <c r="AA10" s="39"/>
      <c r="AB10" s="39"/>
      <c r="AC10" s="40"/>
      <c r="AD10" s="41" t="n">
        <v>45646</v>
      </c>
      <c r="AE10" s="28" t="n">
        <v>9</v>
      </c>
      <c r="AF10" s="41"/>
      <c r="AG10" s="41"/>
      <c r="AH10" s="37" t="n">
        <f aca="false">SUM(AE10,AG10)</f>
        <v>9</v>
      </c>
      <c r="AI10" s="42"/>
      <c r="AJ10" s="43" t="str">
        <f aca="false">IF(AND(S10&gt;=12,Y10&gt;=12,AH10&gt;=6),"да","нет")</f>
        <v>да</v>
      </c>
      <c r="AK10" s="2"/>
      <c r="AL10" s="28" t="n">
        <v>40</v>
      </c>
      <c r="AM10" s="23" t="n">
        <f aca="false">SUM(S10,Y10,AA10,AB10,AH10,AL10,AK10)</f>
        <v>87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536</v>
      </c>
      <c r="C11" s="27" t="s">
        <v>100</v>
      </c>
      <c r="D11" s="27" t="n">
        <v>466495</v>
      </c>
      <c r="E11" s="28" t="s">
        <v>45</v>
      </c>
      <c r="F11" s="28" t="s">
        <v>45</v>
      </c>
      <c r="G11" s="28" t="s">
        <v>45</v>
      </c>
      <c r="H11" s="28" t="s">
        <v>519</v>
      </c>
      <c r="I11" s="28" t="s">
        <v>519</v>
      </c>
      <c r="J11" s="28" t="s">
        <v>519</v>
      </c>
      <c r="K11" s="28" t="s">
        <v>519</v>
      </c>
      <c r="L11" s="28" t="s">
        <v>518</v>
      </c>
      <c r="M11" s="29" t="s">
        <v>519</v>
      </c>
      <c r="N11" s="29" t="s">
        <v>518</v>
      </c>
      <c r="O11" s="29" t="s">
        <v>518</v>
      </c>
      <c r="P11" s="30"/>
      <c r="Q11" s="31" t="n">
        <v>1209</v>
      </c>
      <c r="R11" s="32" t="n">
        <f aca="false">J2</f>
        <v>45630</v>
      </c>
      <c r="S11" s="33" t="n">
        <v>17</v>
      </c>
      <c r="T11" s="34"/>
      <c r="U11" s="35" t="n">
        <v>1211</v>
      </c>
      <c r="V11" s="36" t="n">
        <f aca="false">K2</f>
        <v>45644</v>
      </c>
      <c r="W11" s="36" t="n">
        <f aca="false">K2</f>
        <v>45644</v>
      </c>
      <c r="X11" s="36" t="n">
        <f aca="false">M2</f>
        <v>45652</v>
      </c>
      <c r="Y11" s="37" t="n">
        <v>18</v>
      </c>
      <c r="Z11" s="38"/>
      <c r="AA11" s="39"/>
      <c r="AB11" s="39"/>
      <c r="AC11" s="40"/>
      <c r="AD11" s="41" t="n">
        <v>45646</v>
      </c>
      <c r="AE11" s="28" t="n">
        <v>10</v>
      </c>
      <c r="AF11" s="41"/>
      <c r="AG11" s="41"/>
      <c r="AH11" s="37" t="n">
        <f aca="false">SUM(AE11,AG11)</f>
        <v>10</v>
      </c>
      <c r="AI11" s="42"/>
      <c r="AJ11" s="43" t="str">
        <f aca="false">IF(AND(S11&gt;=12,Y11&gt;=12,AH11&gt;=6),"да","нет")</f>
        <v>да</v>
      </c>
      <c r="AK11" s="2"/>
      <c r="AL11" s="28" t="n">
        <v>40</v>
      </c>
      <c r="AM11" s="23" t="n">
        <f aca="false">SUM(S11,Y11,AA11,AB11,AH11,AL11,AK11)</f>
        <v>85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282</v>
      </c>
      <c r="C12" s="27" t="s">
        <v>100</v>
      </c>
      <c r="D12" s="27" t="n">
        <v>475153</v>
      </c>
      <c r="E12" s="28" t="s">
        <v>45</v>
      </c>
      <c r="F12" s="28" t="s">
        <v>45</v>
      </c>
      <c r="G12" s="28" t="s">
        <v>45</v>
      </c>
      <c r="H12" s="28" t="s">
        <v>45</v>
      </c>
      <c r="I12" s="28" t="s">
        <v>45</v>
      </c>
      <c r="J12" s="28" t="s">
        <v>519</v>
      </c>
      <c r="K12" s="28" t="s">
        <v>518</v>
      </c>
      <c r="L12" s="28" t="s">
        <v>518</v>
      </c>
      <c r="M12" s="29" t="s">
        <v>518</v>
      </c>
      <c r="N12" s="29" t="s">
        <v>518</v>
      </c>
      <c r="O12" s="29" t="s">
        <v>519</v>
      </c>
      <c r="P12" s="30"/>
      <c r="Q12" s="31" t="n">
        <v>1210</v>
      </c>
      <c r="R12" s="32" t="n">
        <f aca="false">O2</f>
        <v>45681</v>
      </c>
      <c r="S12" s="33" t="n">
        <v>14</v>
      </c>
      <c r="T12" s="34"/>
      <c r="U12" s="35" t="n">
        <v>2222</v>
      </c>
      <c r="V12" s="36" t="n">
        <v>45716</v>
      </c>
      <c r="W12" s="36" t="n">
        <v>45716</v>
      </c>
      <c r="X12" s="36" t="n">
        <v>45716</v>
      </c>
      <c r="Y12" s="37" t="n">
        <v>12</v>
      </c>
      <c r="Z12" s="38"/>
      <c r="AA12" s="39"/>
      <c r="AB12" s="39"/>
      <c r="AC12" s="40"/>
      <c r="AD12" s="41" t="n">
        <v>45703</v>
      </c>
      <c r="AE12" s="28" t="n">
        <v>5</v>
      </c>
      <c r="AF12" s="41" t="n">
        <v>45703</v>
      </c>
      <c r="AG12" s="28" t="n">
        <v>1</v>
      </c>
      <c r="AH12" s="37" t="n">
        <f aca="false">SUM(AE12,AG12)</f>
        <v>6</v>
      </c>
      <c r="AI12" s="42"/>
      <c r="AJ12" s="43" t="str">
        <f aca="false">IF(AND(S12&gt;=12,Y12&gt;=12,AH12&gt;=6),"да","нет")</f>
        <v>да</v>
      </c>
      <c r="AK12" s="2"/>
      <c r="AL12" s="28" t="n">
        <v>28</v>
      </c>
      <c r="AM12" s="23" t="n">
        <f aca="false">SUM(S12,Y12,AA12,AB12,AH12,AL12,AK12)</f>
        <v>60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298</v>
      </c>
      <c r="C13" s="27" t="s">
        <v>100</v>
      </c>
      <c r="D13" s="27" t="n">
        <v>466650</v>
      </c>
      <c r="E13" s="28" t="s">
        <v>45</v>
      </c>
      <c r="F13" s="28" t="s">
        <v>519</v>
      </c>
      <c r="G13" s="28" t="s">
        <v>519</v>
      </c>
      <c r="H13" s="28" t="s">
        <v>518</v>
      </c>
      <c r="I13" s="28" t="s">
        <v>45</v>
      </c>
      <c r="J13" s="28" t="s">
        <v>519</v>
      </c>
      <c r="K13" s="28" t="s">
        <v>518</v>
      </c>
      <c r="L13" s="28" t="s">
        <v>518</v>
      </c>
      <c r="M13" s="29" t="s">
        <v>518</v>
      </c>
      <c r="N13" s="29" t="s">
        <v>518</v>
      </c>
      <c r="O13" s="29" t="s">
        <v>518</v>
      </c>
      <c r="P13" s="30"/>
      <c r="Q13" s="31" t="n">
        <v>1211</v>
      </c>
      <c r="R13" s="32" t="n">
        <f aca="false">G2</f>
        <v>45588</v>
      </c>
      <c r="S13" s="33" t="n">
        <v>19</v>
      </c>
      <c r="T13" s="34"/>
      <c r="U13" s="35" t="n">
        <v>1203</v>
      </c>
      <c r="V13" s="36" t="n">
        <f aca="false">J2</f>
        <v>45630</v>
      </c>
      <c r="W13" s="36" t="n">
        <f aca="false">J2</f>
        <v>45630</v>
      </c>
      <c r="X13" s="36" t="n">
        <f aca="false">J2</f>
        <v>45630</v>
      </c>
      <c r="Y13" s="37" t="n">
        <v>20</v>
      </c>
      <c r="Z13" s="38"/>
      <c r="AA13" s="39"/>
      <c r="AB13" s="39"/>
      <c r="AC13" s="40"/>
      <c r="AD13" s="41" t="n">
        <v>45646</v>
      </c>
      <c r="AE13" s="28" t="n">
        <v>10</v>
      </c>
      <c r="AF13" s="41"/>
      <c r="AG13" s="41"/>
      <c r="AH13" s="37" t="n">
        <f aca="false">SUM(AE13,AG13)</f>
        <v>10</v>
      </c>
      <c r="AI13" s="42"/>
      <c r="AJ13" s="43" t="str">
        <f aca="false">IF(AND(S13&gt;=12,Y13&gt;=12,AH13&gt;=6),"да","нет")</f>
        <v>да</v>
      </c>
      <c r="AK13" s="2"/>
      <c r="AL13" s="28" t="n">
        <v>40</v>
      </c>
      <c r="AM13" s="23" t="n">
        <f aca="false">SUM(S13,Y13,AA13,AB13,AH13,AL13,AK13)</f>
        <v>89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308</v>
      </c>
      <c r="C14" s="27" t="s">
        <v>100</v>
      </c>
      <c r="D14" s="27" t="n">
        <v>466752</v>
      </c>
      <c r="E14" s="28" t="s">
        <v>45</v>
      </c>
      <c r="F14" s="28" t="s">
        <v>45</v>
      </c>
      <c r="G14" s="28" t="s">
        <v>45</v>
      </c>
      <c r="H14" s="28" t="s">
        <v>519</v>
      </c>
      <c r="I14" s="28" t="s">
        <v>518</v>
      </c>
      <c r="J14" s="28" t="s">
        <v>45</v>
      </c>
      <c r="K14" s="28" t="s">
        <v>518</v>
      </c>
      <c r="L14" s="28" t="s">
        <v>519</v>
      </c>
      <c r="M14" s="29" t="s">
        <v>522</v>
      </c>
      <c r="N14" s="29" t="s">
        <v>519</v>
      </c>
      <c r="O14" s="29" t="s">
        <v>519</v>
      </c>
      <c r="P14" s="30"/>
      <c r="Q14" s="31" t="n">
        <v>1212</v>
      </c>
      <c r="R14" s="32" t="n">
        <f aca="false">L2</f>
        <v>45635</v>
      </c>
      <c r="S14" s="33" t="n">
        <v>18</v>
      </c>
      <c r="T14" s="34"/>
      <c r="U14" s="35" t="n">
        <v>13423</v>
      </c>
      <c r="V14" s="36" t="n">
        <f aca="false">M2</f>
        <v>45652</v>
      </c>
      <c r="W14" s="36" t="n">
        <f aca="false">N2</f>
        <v>45673</v>
      </c>
      <c r="X14" s="36" t="n">
        <f aca="false">O2</f>
        <v>45681</v>
      </c>
      <c r="Y14" s="37" t="n">
        <v>20</v>
      </c>
      <c r="Z14" s="38"/>
      <c r="AA14" s="39"/>
      <c r="AB14" s="39"/>
      <c r="AC14" s="40"/>
      <c r="AD14" s="41" t="n">
        <f aca="false">AF14</f>
        <v>45675</v>
      </c>
      <c r="AE14" s="28" t="n">
        <v>5</v>
      </c>
      <c r="AF14" s="41" t="n">
        <v>45675</v>
      </c>
      <c r="AG14" s="28" t="n">
        <v>1</v>
      </c>
      <c r="AH14" s="37" t="n">
        <f aca="false">SUM(AE14,AG14)</f>
        <v>6</v>
      </c>
      <c r="AI14" s="42"/>
      <c r="AJ14" s="43" t="str">
        <f aca="false">IF(AND(S14&gt;=12,Y14&gt;=12,AH14&gt;=6),"да","нет")</f>
        <v>да</v>
      </c>
      <c r="AK14" s="2"/>
      <c r="AL14" s="28" t="n">
        <v>40</v>
      </c>
      <c r="AM14" s="23" t="n">
        <f aca="false">SUM(S14,Y14,AA14,AB14,AH14,AL14,AK14)</f>
        <v>84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322</v>
      </c>
      <c r="C15" s="27" t="s">
        <v>100</v>
      </c>
      <c r="D15" s="27" t="n">
        <v>466828</v>
      </c>
      <c r="E15" s="28" t="s">
        <v>45</v>
      </c>
      <c r="F15" s="28" t="s">
        <v>518</v>
      </c>
      <c r="G15" s="28" t="s">
        <v>518</v>
      </c>
      <c r="H15" s="28" t="s">
        <v>518</v>
      </c>
      <c r="I15" s="28" t="s">
        <v>518</v>
      </c>
      <c r="J15" s="28" t="s">
        <v>519</v>
      </c>
      <c r="K15" s="28" t="s">
        <v>519</v>
      </c>
      <c r="L15" s="28" t="s">
        <v>518</v>
      </c>
      <c r="M15" s="29" t="s">
        <v>522</v>
      </c>
      <c r="N15" s="29" t="s">
        <v>519</v>
      </c>
      <c r="O15" s="29" t="s">
        <v>518</v>
      </c>
      <c r="P15" s="30"/>
      <c r="Q15" s="31" t="n">
        <v>1213</v>
      </c>
      <c r="R15" s="32" t="n">
        <f aca="false">K2</f>
        <v>45644</v>
      </c>
      <c r="S15" s="33" t="n">
        <v>19</v>
      </c>
      <c r="T15" s="34"/>
      <c r="U15" s="35" t="n">
        <v>13523</v>
      </c>
      <c r="V15" s="36" t="n">
        <f aca="false">M2</f>
        <v>45652</v>
      </c>
      <c r="W15" s="36" t="n">
        <f aca="false">M2</f>
        <v>45652</v>
      </c>
      <c r="X15" s="36" t="n">
        <f aca="false">N2</f>
        <v>45673</v>
      </c>
      <c r="Y15" s="37" t="n">
        <v>20</v>
      </c>
      <c r="Z15" s="38"/>
      <c r="AA15" s="39"/>
      <c r="AB15" s="39"/>
      <c r="AC15" s="40"/>
      <c r="AD15" s="41" t="n">
        <v>45646</v>
      </c>
      <c r="AE15" s="28" t="n">
        <v>9</v>
      </c>
      <c r="AF15" s="41"/>
      <c r="AG15" s="41"/>
      <c r="AH15" s="37" t="n">
        <f aca="false">SUM(AE15,AG15)</f>
        <v>9</v>
      </c>
      <c r="AI15" s="42"/>
      <c r="AJ15" s="43" t="str">
        <f aca="false">IF(AND(S15&gt;=12,Y15&gt;=12,AH15&gt;=6),"да","нет")</f>
        <v>да</v>
      </c>
      <c r="AK15" s="2"/>
      <c r="AL15" s="28" t="n">
        <v>40</v>
      </c>
      <c r="AM15" s="23" t="n">
        <f aca="false">SUM(S15,Y15,AA15,AB15,AH15,AL15,AK15)</f>
        <v>88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537</v>
      </c>
      <c r="C16" s="27" t="s">
        <v>100</v>
      </c>
      <c r="D16" s="27" t="n">
        <v>467132</v>
      </c>
      <c r="E16" s="28" t="s">
        <v>45</v>
      </c>
      <c r="F16" s="28" t="s">
        <v>45</v>
      </c>
      <c r="G16" s="28" t="s">
        <v>45</v>
      </c>
      <c r="H16" s="28" t="s">
        <v>45</v>
      </c>
      <c r="I16" s="28" t="s">
        <v>45</v>
      </c>
      <c r="J16" s="28" t="s">
        <v>45</v>
      </c>
      <c r="K16" s="28" t="s">
        <v>519</v>
      </c>
      <c r="L16" s="28" t="s">
        <v>519</v>
      </c>
      <c r="M16" s="29" t="s">
        <v>519</v>
      </c>
      <c r="N16" s="29" t="s">
        <v>518</v>
      </c>
      <c r="O16" s="29" t="s">
        <v>519</v>
      </c>
      <c r="P16" s="30"/>
      <c r="Q16" s="31" t="n">
        <v>1214</v>
      </c>
      <c r="R16" s="32" t="n">
        <f aca="false">M2</f>
        <v>45652</v>
      </c>
      <c r="S16" s="33" t="n">
        <v>17</v>
      </c>
      <c r="T16" s="34"/>
      <c r="U16" s="35" t="n">
        <v>131229</v>
      </c>
      <c r="V16" s="36" t="n">
        <f aca="false">N2</f>
        <v>45673</v>
      </c>
      <c r="W16" s="36" t="n">
        <f aca="false">O2</f>
        <v>45681</v>
      </c>
      <c r="X16" s="36" t="n">
        <f aca="false">O2</f>
        <v>45681</v>
      </c>
      <c r="Y16" s="37" t="n">
        <v>18</v>
      </c>
      <c r="Z16" s="38"/>
      <c r="AA16" s="39"/>
      <c r="AB16" s="39"/>
      <c r="AC16" s="40"/>
      <c r="AD16" s="41" t="n">
        <v>45646</v>
      </c>
      <c r="AE16" s="28" t="n">
        <v>8.5</v>
      </c>
      <c r="AF16" s="41"/>
      <c r="AG16" s="41"/>
      <c r="AH16" s="37" t="n">
        <f aca="false">SUM(AE16,AG16)</f>
        <v>8.5</v>
      </c>
      <c r="AI16" s="42"/>
      <c r="AJ16" s="43" t="str">
        <f aca="false">IF(AND(S16&gt;=12,Y16&gt;=12,AH16&gt;=6),"да","нет")</f>
        <v>да</v>
      </c>
      <c r="AK16" s="2"/>
      <c r="AL16" s="28" t="n">
        <v>40</v>
      </c>
      <c r="AM16" s="23" t="n">
        <f aca="false">SUM(S16,Y16,AA16,AB16,AH16,AL16,AK16)</f>
        <v>83.5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392</v>
      </c>
      <c r="C17" s="27" t="s">
        <v>100</v>
      </c>
      <c r="D17" s="27" t="n">
        <v>467342</v>
      </c>
      <c r="E17" s="28" t="s">
        <v>45</v>
      </c>
      <c r="F17" s="28" t="s">
        <v>519</v>
      </c>
      <c r="G17" s="28" t="s">
        <v>519</v>
      </c>
      <c r="H17" s="28" t="s">
        <v>518</v>
      </c>
      <c r="I17" s="28" t="s">
        <v>518</v>
      </c>
      <c r="J17" s="28" t="s">
        <v>45</v>
      </c>
      <c r="K17" s="28" t="s">
        <v>519</v>
      </c>
      <c r="L17" s="28" t="s">
        <v>519</v>
      </c>
      <c r="M17" s="29" t="s">
        <v>518</v>
      </c>
      <c r="N17" s="29" t="s">
        <v>518</v>
      </c>
      <c r="O17" s="29" t="s">
        <v>518</v>
      </c>
      <c r="P17" s="30"/>
      <c r="Q17" s="31" t="n">
        <v>1215</v>
      </c>
      <c r="R17" s="32" t="n">
        <f aca="false">G2</f>
        <v>45588</v>
      </c>
      <c r="S17" s="33" t="n">
        <v>20</v>
      </c>
      <c r="T17" s="34"/>
      <c r="U17" s="35" t="n">
        <v>1202</v>
      </c>
      <c r="V17" s="36" t="n">
        <f aca="false">J2</f>
        <v>45630</v>
      </c>
      <c r="W17" s="36" t="n">
        <f aca="false">L2</f>
        <v>45635</v>
      </c>
      <c r="X17" s="36" t="n">
        <f aca="false">K2</f>
        <v>45644</v>
      </c>
      <c r="Y17" s="37" t="n">
        <v>19</v>
      </c>
      <c r="Z17" s="38"/>
      <c r="AA17" s="39"/>
      <c r="AB17" s="39"/>
      <c r="AC17" s="44"/>
      <c r="AD17" s="41" t="n">
        <v>45646</v>
      </c>
      <c r="AE17" s="28" t="n">
        <v>10</v>
      </c>
      <c r="AF17" s="36"/>
      <c r="AG17" s="36"/>
      <c r="AH17" s="37" t="n">
        <f aca="false">SUM(AE17,AG17)</f>
        <v>10</v>
      </c>
      <c r="AI17" s="42"/>
      <c r="AJ17" s="43" t="str">
        <f aca="false">IF(AND(S17&gt;=12,Y17&gt;=12,AH17&gt;=6),"да","нет")</f>
        <v>да</v>
      </c>
      <c r="AK17" s="2"/>
      <c r="AL17" s="28" t="n">
        <v>40</v>
      </c>
      <c r="AM17" s="23" t="n">
        <f aca="false">SUM(S17,Y17,AA17,AB17,AH17,AL17,AK17)</f>
        <v>89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405</v>
      </c>
      <c r="C18" s="27" t="s">
        <v>100</v>
      </c>
      <c r="D18" s="27" t="n">
        <v>467432</v>
      </c>
      <c r="E18" s="28" t="s">
        <v>45</v>
      </c>
      <c r="F18" s="28" t="s">
        <v>45</v>
      </c>
      <c r="G18" s="28" t="s">
        <v>519</v>
      </c>
      <c r="H18" s="28" t="s">
        <v>45</v>
      </c>
      <c r="I18" s="28" t="s">
        <v>519</v>
      </c>
      <c r="J18" s="28" t="s">
        <v>518</v>
      </c>
      <c r="K18" s="28" t="s">
        <v>519</v>
      </c>
      <c r="L18" s="28" t="s">
        <v>518</v>
      </c>
      <c r="M18" s="29" t="s">
        <v>522</v>
      </c>
      <c r="N18" s="29" t="s">
        <v>518</v>
      </c>
      <c r="O18" s="29" t="s">
        <v>518</v>
      </c>
      <c r="P18" s="30"/>
      <c r="Q18" s="31" t="n">
        <v>1216</v>
      </c>
      <c r="R18" s="32" t="n">
        <f aca="false">I2</f>
        <v>45616</v>
      </c>
      <c r="S18" s="33" t="n">
        <v>18</v>
      </c>
      <c r="T18" s="34"/>
      <c r="U18" s="35" t="n">
        <v>1209</v>
      </c>
      <c r="V18" s="36" t="n">
        <f aca="false">K2</f>
        <v>45644</v>
      </c>
      <c r="W18" s="36" t="n">
        <f aca="false">M2</f>
        <v>45652</v>
      </c>
      <c r="X18" s="36" t="n">
        <f aca="false">M2</f>
        <v>45652</v>
      </c>
      <c r="Y18" s="37" t="n">
        <v>18</v>
      </c>
      <c r="Z18" s="38"/>
      <c r="AA18" s="39"/>
      <c r="AB18" s="39"/>
      <c r="AC18" s="40"/>
      <c r="AD18" s="41" t="n">
        <v>45646</v>
      </c>
      <c r="AE18" s="28" t="n">
        <v>8</v>
      </c>
      <c r="AF18" s="41"/>
      <c r="AG18" s="41"/>
      <c r="AH18" s="37" t="n">
        <f aca="false">SUM(AE18,AG18)</f>
        <v>8</v>
      </c>
      <c r="AI18" s="42"/>
      <c r="AJ18" s="43" t="str">
        <f aca="false">IF(AND(S18&gt;=12,Y18&gt;=12,AH18&gt;=6),"да","нет")</f>
        <v>да</v>
      </c>
      <c r="AK18" s="2"/>
      <c r="AL18" s="28" t="n">
        <v>40</v>
      </c>
      <c r="AM18" s="23" t="n">
        <f aca="false">SUM(S18,Y18,AA18,AB18,AH18,AL18,AK18)</f>
        <v>84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453</v>
      </c>
      <c r="C19" s="27" t="s">
        <v>100</v>
      </c>
      <c r="D19" s="27" t="n">
        <v>467731</v>
      </c>
      <c r="E19" s="28" t="s">
        <v>45</v>
      </c>
      <c r="F19" s="28" t="s">
        <v>519</v>
      </c>
      <c r="G19" s="28" t="s">
        <v>45</v>
      </c>
      <c r="H19" s="28" t="s">
        <v>45</v>
      </c>
      <c r="I19" s="28" t="s">
        <v>45</v>
      </c>
      <c r="J19" s="28" t="s">
        <v>45</v>
      </c>
      <c r="K19" s="28" t="s">
        <v>518</v>
      </c>
      <c r="L19" s="28" t="s">
        <v>522</v>
      </c>
      <c r="M19" s="29" t="s">
        <v>518</v>
      </c>
      <c r="N19" s="29" t="s">
        <v>518</v>
      </c>
      <c r="O19" s="29" t="s">
        <v>518</v>
      </c>
      <c r="P19" s="30"/>
      <c r="Q19" s="31" t="n">
        <v>1217</v>
      </c>
      <c r="R19" s="32" t="n">
        <f aca="false">F2</f>
        <v>45574</v>
      </c>
      <c r="S19" s="33" t="n">
        <v>20</v>
      </c>
      <c r="T19" s="34"/>
      <c r="U19" s="35" t="n">
        <v>1201</v>
      </c>
      <c r="V19" s="36" t="n">
        <f aca="false">L2</f>
        <v>45635</v>
      </c>
      <c r="W19" s="36" t="n">
        <f aca="false">L2</f>
        <v>45635</v>
      </c>
      <c r="X19" s="36" t="n">
        <f aca="false">L2</f>
        <v>45635</v>
      </c>
      <c r="Y19" s="37" t="n">
        <v>19</v>
      </c>
      <c r="Z19" s="38"/>
      <c r="AA19" s="39"/>
      <c r="AB19" s="39"/>
      <c r="AC19" s="40"/>
      <c r="AD19" s="41" t="n">
        <v>45646</v>
      </c>
      <c r="AE19" s="28" t="n">
        <v>7</v>
      </c>
      <c r="AF19" s="41"/>
      <c r="AG19" s="41"/>
      <c r="AH19" s="37" t="n">
        <f aca="false">SUM(AE19,AG19)</f>
        <v>7</v>
      </c>
      <c r="AI19" s="42"/>
      <c r="AJ19" s="43" t="str">
        <f aca="false">IF(AND(S19&gt;=12,Y19&gt;=12,AH19&gt;=6),"да","нет")</f>
        <v>да</v>
      </c>
      <c r="AK19" s="2"/>
      <c r="AL19" s="28" t="n">
        <v>40</v>
      </c>
      <c r="AM19" s="23" t="n">
        <f aca="false">SUM(S19,Y19,AA19,AB19,AH19,AL19,AK19)</f>
        <v>86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 t="s">
        <v>504</v>
      </c>
      <c r="C20" s="27" t="s">
        <v>100</v>
      </c>
      <c r="D20" s="27" t="n">
        <v>468197</v>
      </c>
      <c r="E20" s="28" t="s">
        <v>45</v>
      </c>
      <c r="F20" s="28" t="s">
        <v>45</v>
      </c>
      <c r="G20" s="28" t="s">
        <v>45</v>
      </c>
      <c r="H20" s="28" t="s">
        <v>519</v>
      </c>
      <c r="I20" s="28" t="s">
        <v>519</v>
      </c>
      <c r="J20" s="28" t="s">
        <v>518</v>
      </c>
      <c r="K20" s="28" t="s">
        <v>519</v>
      </c>
      <c r="L20" s="28" t="s">
        <v>518</v>
      </c>
      <c r="M20" s="29" t="s">
        <v>522</v>
      </c>
      <c r="N20" s="29" t="s">
        <v>518</v>
      </c>
      <c r="O20" s="29" t="s">
        <v>518</v>
      </c>
      <c r="P20" s="30"/>
      <c r="Q20" s="46" t="n">
        <v>1218</v>
      </c>
      <c r="R20" s="36" t="n">
        <f aca="false">I2</f>
        <v>45616</v>
      </c>
      <c r="S20" s="37" t="n">
        <v>20</v>
      </c>
      <c r="T20" s="47"/>
      <c r="U20" s="2" t="n">
        <v>1210</v>
      </c>
      <c r="V20" s="36" t="n">
        <f aca="false">K2</f>
        <v>45644</v>
      </c>
      <c r="W20" s="36" t="n">
        <f aca="false">M2</f>
        <v>45652</v>
      </c>
      <c r="X20" s="36" t="n">
        <f aca="false">M2</f>
        <v>45652</v>
      </c>
      <c r="Y20" s="37" t="n">
        <v>17</v>
      </c>
      <c r="Z20" s="38"/>
      <c r="AA20" s="39"/>
      <c r="AB20" s="39"/>
      <c r="AC20" s="48"/>
      <c r="AD20" s="41" t="n">
        <v>45646</v>
      </c>
      <c r="AE20" s="28" t="n">
        <v>7</v>
      </c>
      <c r="AF20" s="28"/>
      <c r="AG20" s="28"/>
      <c r="AH20" s="37" t="n">
        <f aca="false">SUM(AE20,AG20)</f>
        <v>7</v>
      </c>
      <c r="AI20" s="42"/>
      <c r="AJ20" s="43" t="str">
        <f aca="false">IF(AND(S20&gt;=12,Y20&gt;=12,AH20&gt;=6),"да","нет")</f>
        <v>да</v>
      </c>
      <c r="AK20" s="2"/>
      <c r="AL20" s="28" t="n">
        <v>40</v>
      </c>
      <c r="AM20" s="23" t="n">
        <f aca="false">SUM(S20,Y20,AA20,AB20,AH20,AL20,AK20)</f>
        <v>84</v>
      </c>
      <c r="AN20" s="29" t="str">
        <f aca="false">IF(AND(S20&gt;=12,Y20&gt;=12,AH20&gt;=6,AL20&gt;=24,AM20&gt;=60),"Зачет","Незачет")</f>
        <v>Зачет</v>
      </c>
    </row>
    <row r="21" customFormat="false" ht="15.75" hidden="false" customHeight="false" outlineLevel="0" collapsed="false">
      <c r="A21" s="25"/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28"/>
      <c r="AH21" s="37"/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25"/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/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6</v>
      </c>
      <c r="G25" s="37" t="n">
        <f aca="false">COUNTIF(G$3:G$23, "~**")</f>
        <v>7</v>
      </c>
      <c r="H25" s="37" t="n">
        <f aca="false">COUNTIF(H$3:H$23, "~**")</f>
        <v>7</v>
      </c>
      <c r="I25" s="37" t="n">
        <f aca="false">COUNTIF(I$3:I$23, "~**")</f>
        <v>7</v>
      </c>
      <c r="J25" s="37" t="n">
        <f aca="false">COUNTIF(J$3:J$23, "~**")</f>
        <v>6</v>
      </c>
      <c r="K25" s="37" t="n">
        <f aca="false">COUNTIF(K$3:K$23, "~**")</f>
        <v>9</v>
      </c>
      <c r="L25" s="37" t="n">
        <f aca="false">COUNTIF(L$3:L$23, "~**")</f>
        <v>6</v>
      </c>
      <c r="M25" s="54" t="n">
        <f aca="false">COUNTIF(M$3:M$23, "~**")</f>
        <v>8</v>
      </c>
      <c r="N25" s="54" t="n">
        <f aca="false">COUNTIF(N$3:N$23, "~**")</f>
        <v>4</v>
      </c>
      <c r="O25" s="54" t="n">
        <f aca="false">COUNTIF(O$3:O$23, "~**")</f>
        <v>4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17</v>
      </c>
      <c r="F26" s="37" t="n">
        <f aca="false">COUNTIF(F$3:F$23, "~**")+COUNTIF(F$3:F$23, "Y")</f>
        <v>17</v>
      </c>
      <c r="G26" s="37" t="n">
        <f aca="false">COUNTIF(G$3:G$23, "~**")+COUNTIF(G$3:G$23, "Y")</f>
        <v>16</v>
      </c>
      <c r="H26" s="37" t="n">
        <f aca="false">COUNTIF(H$3:H$23, "~**")+COUNTIF(H$3:H$23, "Y")</f>
        <v>12</v>
      </c>
      <c r="I26" s="37" t="n">
        <f aca="false">COUNTIF(I$3:I$23, "~**")+COUNTIF(I$3:I$23, "Y")</f>
        <v>14</v>
      </c>
      <c r="J26" s="37" t="n">
        <f aca="false">COUNTIF(J$3:J$23, "~**")+COUNTIF(J$3:J$23, "Y")</f>
        <v>15</v>
      </c>
      <c r="K26" s="37" t="n">
        <f aca="false">COUNTIF(K$3:K$23, "~**")+COUNTIF(K$3:K$23, "Y")</f>
        <v>10</v>
      </c>
      <c r="L26" s="37" t="n">
        <f aca="false">COUNTIF(L$3:L$23, "~**")+COUNTIF(L$3:L$23, "Y")</f>
        <v>6</v>
      </c>
      <c r="M26" s="54" t="n">
        <f aca="false">COUNTIF(M$3:M$23, "~**")+COUNTIF(M$3:M$23, "Y")</f>
        <v>8</v>
      </c>
      <c r="N26" s="54" t="n">
        <f aca="false">COUNTIF(N$3:N$23, "~**")+COUNTIF(N$3:N$23, "Y")</f>
        <v>4</v>
      </c>
      <c r="O26" s="54" t="n">
        <f aca="false">COUNTIF(O$3:O$23, "~**")+COUNTIF(O$3:O$23, "Y")</f>
        <v>4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0.9444444444</v>
      </c>
      <c r="T28" s="62"/>
      <c r="U28" s="61"/>
      <c r="V28" s="61"/>
      <c r="W28" s="61"/>
      <c r="X28" s="61"/>
      <c r="Y28" s="61" t="n">
        <f aca="false">IFERROR(COUNTA(Y$3:Y23)/COUNTA($B$3:$B$23), 0)</f>
        <v>0.9444444444</v>
      </c>
      <c r="Z28" s="63"/>
      <c r="AA28" s="2"/>
      <c r="AB28" s="2"/>
      <c r="AC28" s="57"/>
      <c r="AE28" s="61" t="n">
        <f aca="false">IFERROR(COUNTIF(AE$3:AE23, "&gt;1")/COUNTA($B$3:$B$22), 0)</f>
        <v>1</v>
      </c>
      <c r="AG28" s="61" t="n">
        <f aca="false">IFERROR(COUNTIF(AG$3:AG23, "&gt;1")/COUNTA($B$3:$B$22), 0)</f>
        <v>0</v>
      </c>
      <c r="AH28" s="61" t="n">
        <f aca="false">IFERROR(COUNTIF(AH$3:AH23, "&gt;1")/COUNTA($B$3:$B$22), 0)</f>
        <v>1</v>
      </c>
      <c r="AI28" s="64"/>
      <c r="AJ28" s="65"/>
      <c r="AK28" s="2"/>
      <c r="AL28" s="61" t="n">
        <f aca="false">IFERROR(COUNTIF(AL$3:AL23, "&gt;24")/COUNTA($B$3:$B$22), 0)</f>
        <v>0.9444444444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 t="s">
        <v>538</v>
      </c>
      <c r="AE30" s="2" t="n">
        <f aca="false">COUNTIF(AE$3:AE23, "&gt;=6")</f>
        <v>14</v>
      </c>
      <c r="AF30" s="2"/>
      <c r="AG30" s="2"/>
      <c r="AH30" s="2"/>
      <c r="AI30" s="64"/>
      <c r="AJ30" s="65"/>
      <c r="AK30" s="2"/>
      <c r="AL30" s="2" t="n">
        <f aca="false">COUNTIF(AL$3:AL23, "&gt;=6")</f>
        <v>17</v>
      </c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:S23 Y3:AB23 AH3:AH23 AK3:AL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3">
    <cfRule type="expression" priority="7" aboveAverage="0" equalAverage="0" bottom="0" percent="0" rank="0" text="" dxfId="5">
      <formula>R3&gt;45230</formula>
    </cfRule>
  </conditionalFormatting>
  <conditionalFormatting sqref="V3:X23 AC3:AG23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5" min="5" style="0" width="3.38"/>
    <col collapsed="false" customWidth="true" hidden="false" outlineLevel="0" max="6" min="6" style="0" width="3.63"/>
    <col collapsed="false" customWidth="true" hidden="false" outlineLevel="0" max="7" min="7" style="0" width="3"/>
    <col collapsed="false" customWidth="true" hidden="false" outlineLevel="0" max="8" min="8" style="0" width="3.63"/>
    <col collapsed="false" customWidth="true" hidden="false" outlineLevel="0" max="9" min="9" style="0" width="4.25"/>
    <col collapsed="false" customWidth="true" hidden="false" outlineLevel="0" max="15" min="10" style="0" width="3"/>
    <col collapsed="false" customWidth="true" hidden="false" outlineLevel="0" max="16" min="16" style="0" width="3.75"/>
    <col collapsed="false" customWidth="true" hidden="false" outlineLevel="0" max="17" min="17" style="0" width="8.63"/>
    <col collapsed="false" customWidth="true" hidden="false" outlineLevel="0" max="18" min="18" style="0" width="9.38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7.5"/>
    <col collapsed="false" customWidth="true" hidden="false" outlineLevel="0" max="22" min="22" style="0" width="11.63"/>
    <col collapsed="false" customWidth="true" hidden="false" outlineLevel="0" max="23" min="23" style="0" width="9.38"/>
    <col collapsed="false" customWidth="true" hidden="false" outlineLevel="0" max="24" min="24" style="0" width="9.2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0" min="30" style="0" width="9.38"/>
    <col collapsed="false" customWidth="true" hidden="false" outlineLevel="0" max="31" min="31" style="0" width="5.25"/>
    <col collapsed="false" customWidth="true" hidden="false" outlineLevel="0" max="32" min="32" style="0" width="9.38"/>
    <col collapsed="false" customWidth="true" hidden="false" outlineLevel="0" max="34" min="33" style="0" width="5.13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539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45187</v>
      </c>
      <c r="F2" s="15" t="n">
        <f aca="false">E2+14</f>
        <v>45201</v>
      </c>
      <c r="G2" s="15" t="n">
        <f aca="false">F2+14</f>
        <v>45215</v>
      </c>
      <c r="H2" s="15" t="n">
        <f aca="false">G2+14</f>
        <v>45229</v>
      </c>
      <c r="I2" s="15" t="n">
        <f aca="false">H2+14</f>
        <v>45243</v>
      </c>
      <c r="J2" s="15" t="n">
        <f aca="false">I2+14</f>
        <v>45257</v>
      </c>
      <c r="K2" s="15" t="n">
        <f aca="false">J2+14</f>
        <v>45271</v>
      </c>
      <c r="L2" s="15" t="n">
        <f aca="false">K2+14</f>
        <v>45285</v>
      </c>
      <c r="M2" s="118" t="n">
        <v>45646</v>
      </c>
      <c r="N2" s="17" t="n">
        <v>45654</v>
      </c>
      <c r="O2" s="17" t="n">
        <v>45673</v>
      </c>
      <c r="P2" s="18" t="n">
        <v>45675</v>
      </c>
      <c r="Q2" s="19" t="s">
        <v>17</v>
      </c>
      <c r="R2" s="19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154</v>
      </c>
      <c r="C3" s="27" t="s">
        <v>146</v>
      </c>
      <c r="D3" s="27" t="n">
        <v>465544</v>
      </c>
      <c r="E3" s="28" t="s">
        <v>519</v>
      </c>
      <c r="F3" s="28" t="s">
        <v>522</v>
      </c>
      <c r="G3" s="28" t="s">
        <v>525</v>
      </c>
      <c r="H3" s="28" t="s">
        <v>519</v>
      </c>
      <c r="I3" s="28" t="s">
        <v>518</v>
      </c>
      <c r="J3" s="28" t="s">
        <v>522</v>
      </c>
      <c r="K3" s="28" t="s">
        <v>519</v>
      </c>
      <c r="L3" s="28" t="s">
        <v>540</v>
      </c>
      <c r="M3" s="29" t="s">
        <v>519</v>
      </c>
      <c r="N3" s="29" t="s">
        <v>540</v>
      </c>
      <c r="O3" s="29" t="s">
        <v>540</v>
      </c>
      <c r="P3" s="30"/>
      <c r="Q3" s="31" t="n">
        <v>3301</v>
      </c>
      <c r="R3" s="39" t="s">
        <v>541</v>
      </c>
      <c r="S3" s="33" t="n">
        <v>18</v>
      </c>
      <c r="T3" s="34"/>
      <c r="U3" s="35" t="n">
        <v>789987</v>
      </c>
      <c r="V3" s="119" t="n">
        <v>45646</v>
      </c>
      <c r="W3" s="28" t="s">
        <v>542</v>
      </c>
      <c r="X3" s="28" t="s">
        <v>543</v>
      </c>
      <c r="Y3" s="37" t="n">
        <v>18</v>
      </c>
      <c r="Z3" s="38"/>
      <c r="AA3" s="39"/>
      <c r="AB3" s="39"/>
      <c r="AC3" s="40"/>
      <c r="AD3" s="119" t="n">
        <v>45646</v>
      </c>
      <c r="AE3" s="28" t="n">
        <v>5</v>
      </c>
      <c r="AF3" s="119" t="n">
        <v>45646</v>
      </c>
      <c r="AG3" s="28" t="n">
        <v>5</v>
      </c>
      <c r="AH3" s="37" t="n">
        <f aca="false">SUM(AE3,AG3)</f>
        <v>10</v>
      </c>
      <c r="AI3" s="42"/>
      <c r="AJ3" s="43" t="str">
        <f aca="false">IF(AND(S3&gt;=12,Y3&gt;=12,AH3&gt;=6),"да","нет")</f>
        <v>да</v>
      </c>
      <c r="AK3" s="2"/>
      <c r="AL3" s="2" t="n">
        <v>40</v>
      </c>
      <c r="AM3" s="23" t="n">
        <f aca="false">SUM(S3,Y3,AA3,AB3,AH3,AL3,AK3)</f>
        <v>86</v>
      </c>
      <c r="AN3" s="29" t="str">
        <f aca="false">IF(AND(S3&gt;=12,Y3&gt;=12,AH3&gt;=6,AL3&gt;=24,AM3&gt;=60),"Зачет","Незачет")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201</v>
      </c>
      <c r="C4" s="27" t="s">
        <v>146</v>
      </c>
      <c r="D4" s="27" t="n">
        <v>465945</v>
      </c>
      <c r="E4" s="28" t="s">
        <v>519</v>
      </c>
      <c r="F4" s="28" t="s">
        <v>518</v>
      </c>
      <c r="G4" s="28" t="s">
        <v>519</v>
      </c>
      <c r="H4" s="28" t="s">
        <v>519</v>
      </c>
      <c r="I4" s="28" t="s">
        <v>518</v>
      </c>
      <c r="J4" s="28" t="s">
        <v>45</v>
      </c>
      <c r="K4" s="28" t="s">
        <v>522</v>
      </c>
      <c r="L4" s="28" t="s">
        <v>519</v>
      </c>
      <c r="M4" s="29" t="s">
        <v>519</v>
      </c>
      <c r="N4" s="29" t="s">
        <v>540</v>
      </c>
      <c r="O4" s="29" t="s">
        <v>540</v>
      </c>
      <c r="P4" s="30"/>
      <c r="Q4" s="31" t="n">
        <v>3302</v>
      </c>
      <c r="R4" s="39" t="s">
        <v>541</v>
      </c>
      <c r="S4" s="33" t="n">
        <v>16</v>
      </c>
      <c r="T4" s="34"/>
      <c r="U4" s="35" t="n">
        <v>448763</v>
      </c>
      <c r="V4" s="120" t="n">
        <v>45651</v>
      </c>
      <c r="W4" s="28" t="s">
        <v>542</v>
      </c>
      <c r="X4" s="28" t="s">
        <v>543</v>
      </c>
      <c r="Y4" s="37" t="n">
        <v>17</v>
      </c>
      <c r="Z4" s="38"/>
      <c r="AA4" s="39"/>
      <c r="AB4" s="39"/>
      <c r="AC4" s="40"/>
      <c r="AD4" s="119" t="n">
        <v>45667</v>
      </c>
      <c r="AE4" s="28" t="n">
        <v>3</v>
      </c>
      <c r="AF4" s="119" t="n">
        <v>45667</v>
      </c>
      <c r="AG4" s="28" t="n">
        <v>3</v>
      </c>
      <c r="AH4" s="37" t="n">
        <f aca="false">SUM(AE4,AG4)</f>
        <v>6</v>
      </c>
      <c r="AI4" s="42"/>
      <c r="AJ4" s="43" t="str">
        <f aca="false">IF(AND(S4&gt;=12,Y4&gt;=12,AH4&gt;=6),"да","нет")</f>
        <v>да</v>
      </c>
      <c r="AK4" s="2" t="n">
        <v>3</v>
      </c>
      <c r="AL4" s="2" t="n">
        <v>30</v>
      </c>
      <c r="AM4" s="23" t="n">
        <f aca="false">SUM(S4,Y4,AA4,AB4,AH4,AL4,AK4)</f>
        <v>72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216</v>
      </c>
      <c r="C5" s="27" t="s">
        <v>146</v>
      </c>
      <c r="D5" s="27" t="n">
        <v>466082</v>
      </c>
      <c r="E5" s="28" t="s">
        <v>519</v>
      </c>
      <c r="F5" s="28" t="s">
        <v>45</v>
      </c>
      <c r="G5" s="28" t="s">
        <v>518</v>
      </c>
      <c r="H5" s="28" t="s">
        <v>518</v>
      </c>
      <c r="I5" s="28" t="s">
        <v>519</v>
      </c>
      <c r="J5" s="28" t="s">
        <v>522</v>
      </c>
      <c r="K5" s="28" t="s">
        <v>519</v>
      </c>
      <c r="L5" s="28" t="s">
        <v>522</v>
      </c>
      <c r="M5" s="29" t="s">
        <v>544</v>
      </c>
      <c r="N5" s="29" t="s">
        <v>540</v>
      </c>
      <c r="O5" s="29" t="s">
        <v>519</v>
      </c>
      <c r="P5" s="30"/>
      <c r="Q5" s="31" t="n">
        <v>3303</v>
      </c>
      <c r="R5" s="39" t="s">
        <v>542</v>
      </c>
      <c r="S5" s="33" t="n">
        <v>17</v>
      </c>
      <c r="T5" s="34"/>
      <c r="U5" s="35" t="n">
        <v>14773</v>
      </c>
      <c r="V5" s="36" t="n">
        <v>45673</v>
      </c>
      <c r="W5" s="28" t="s">
        <v>543</v>
      </c>
      <c r="X5" s="120" t="n">
        <v>45651</v>
      </c>
      <c r="Y5" s="37" t="n">
        <v>18</v>
      </c>
      <c r="Z5" s="38"/>
      <c r="AA5" s="39"/>
      <c r="AB5" s="39"/>
      <c r="AC5" s="44"/>
      <c r="AD5" s="119" t="n">
        <v>45667</v>
      </c>
      <c r="AE5" s="28" t="n">
        <v>3</v>
      </c>
      <c r="AF5" s="119" t="n">
        <v>45667</v>
      </c>
      <c r="AG5" s="28" t="n">
        <v>3</v>
      </c>
      <c r="AH5" s="37" t="n">
        <f aca="false">SUM(AE5,AG5)</f>
        <v>6</v>
      </c>
      <c r="AI5" s="42"/>
      <c r="AJ5" s="43" t="str">
        <f aca="false">IF(AND(S5&gt;=12,Y5&gt;=12,AH5&gt;=6),"да","нет")</f>
        <v>да</v>
      </c>
      <c r="AK5" s="2" t="n">
        <v>3</v>
      </c>
      <c r="AL5" s="2" t="n">
        <v>24</v>
      </c>
      <c r="AM5" s="23" t="n">
        <f aca="false">SUM(S5,Y5,AA5,AB5,AH5,AL5,AK5)</f>
        <v>68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223</v>
      </c>
      <c r="C6" s="27" t="s">
        <v>146</v>
      </c>
      <c r="D6" s="27" t="n">
        <v>466137</v>
      </c>
      <c r="E6" s="28" t="s">
        <v>519</v>
      </c>
      <c r="F6" s="28" t="s">
        <v>518</v>
      </c>
      <c r="G6" s="28" t="s">
        <v>45</v>
      </c>
      <c r="H6" s="28" t="s">
        <v>518</v>
      </c>
      <c r="I6" s="28" t="s">
        <v>518</v>
      </c>
      <c r="J6" s="28" t="s">
        <v>519</v>
      </c>
      <c r="K6" s="28" t="s">
        <v>518</v>
      </c>
      <c r="L6" s="28" t="s">
        <v>519</v>
      </c>
      <c r="M6" s="29" t="s">
        <v>544</v>
      </c>
      <c r="N6" s="29" t="s">
        <v>519</v>
      </c>
      <c r="O6" s="29" t="s">
        <v>540</v>
      </c>
      <c r="P6" s="30"/>
      <c r="Q6" s="31" t="n">
        <v>3304</v>
      </c>
      <c r="R6" s="39" t="s">
        <v>542</v>
      </c>
      <c r="S6" s="33" t="n">
        <v>19</v>
      </c>
      <c r="T6" s="34"/>
      <c r="U6" s="35" t="n">
        <v>36137</v>
      </c>
      <c r="V6" s="120" t="n">
        <v>45654</v>
      </c>
      <c r="W6" s="120" t="n">
        <v>45651</v>
      </c>
      <c r="X6" s="120" t="n">
        <v>45654</v>
      </c>
      <c r="Y6" s="37" t="n">
        <v>17</v>
      </c>
      <c r="Z6" s="38"/>
      <c r="AA6" s="39"/>
      <c r="AB6" s="39"/>
      <c r="AC6" s="44"/>
      <c r="AD6" s="119" t="n">
        <v>45646</v>
      </c>
      <c r="AE6" s="28" t="n">
        <v>3</v>
      </c>
      <c r="AF6" s="119" t="n">
        <v>45667</v>
      </c>
      <c r="AG6" s="28" t="n">
        <v>3</v>
      </c>
      <c r="AH6" s="37" t="n">
        <f aca="false">SUM(AE6,AG6)</f>
        <v>6</v>
      </c>
      <c r="AI6" s="42"/>
      <c r="AJ6" s="43" t="str">
        <f aca="false">IF(AND(S6&gt;=12,Y6&gt;=12,AH6&gt;=6),"да","нет")</f>
        <v>да</v>
      </c>
      <c r="AK6" s="2"/>
      <c r="AL6" s="2" t="n">
        <v>30</v>
      </c>
      <c r="AM6" s="23" t="n">
        <f aca="false">SUM(S6,Y6,AA6,AB6,AH6,AL6,AK6)</f>
        <v>72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240</v>
      </c>
      <c r="C7" s="27" t="s">
        <v>146</v>
      </c>
      <c r="D7" s="27" t="n">
        <v>466287</v>
      </c>
      <c r="E7" s="28" t="s">
        <v>519</v>
      </c>
      <c r="F7" s="28" t="s">
        <v>518</v>
      </c>
      <c r="G7" s="28" t="s">
        <v>518</v>
      </c>
      <c r="H7" s="28" t="s">
        <v>518</v>
      </c>
      <c r="I7" s="28" t="s">
        <v>519</v>
      </c>
      <c r="J7" s="28" t="s">
        <v>45</v>
      </c>
      <c r="K7" s="28" t="s">
        <v>519</v>
      </c>
      <c r="L7" s="28" t="s">
        <v>519</v>
      </c>
      <c r="M7" s="29" t="s">
        <v>544</v>
      </c>
      <c r="N7" s="29" t="s">
        <v>540</v>
      </c>
      <c r="O7" s="29" t="s">
        <v>540</v>
      </c>
      <c r="P7" s="30"/>
      <c r="Q7" s="31" t="n">
        <v>3305</v>
      </c>
      <c r="R7" s="28" t="s">
        <v>545</v>
      </c>
      <c r="S7" s="33" t="n">
        <v>17</v>
      </c>
      <c r="T7" s="34"/>
      <c r="U7" s="35" t="n">
        <v>666777</v>
      </c>
      <c r="V7" s="120" t="n">
        <v>45651</v>
      </c>
      <c r="W7" s="28" t="s">
        <v>542</v>
      </c>
      <c r="X7" s="120" t="n">
        <v>45651</v>
      </c>
      <c r="Y7" s="37" t="n">
        <v>16</v>
      </c>
      <c r="Z7" s="38"/>
      <c r="AA7" s="39"/>
      <c r="AB7" s="39"/>
      <c r="AC7" s="40"/>
      <c r="AD7" s="119" t="n">
        <v>45682</v>
      </c>
      <c r="AE7" s="28" t="n">
        <v>3</v>
      </c>
      <c r="AF7" s="119" t="n">
        <v>45682</v>
      </c>
      <c r="AG7" s="28" t="n">
        <v>3</v>
      </c>
      <c r="AH7" s="37" t="n">
        <f aca="false">SUM(AE7,AG7)</f>
        <v>6</v>
      </c>
      <c r="AI7" s="42"/>
      <c r="AJ7" s="43" t="str">
        <f aca="false">IF(AND(S7&gt;=12,Y7&gt;=12,AH7&gt;=6),"да","нет")</f>
        <v>да</v>
      </c>
      <c r="AK7" s="2"/>
      <c r="AL7" s="2" t="n">
        <v>31</v>
      </c>
      <c r="AM7" s="23" t="n">
        <f aca="false">SUM(S7,Y7,AA7,AB7,AH7,AL7,AK7)</f>
        <v>70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277</v>
      </c>
      <c r="C8" s="27" t="s">
        <v>146</v>
      </c>
      <c r="D8" s="27" t="n">
        <v>466497</v>
      </c>
      <c r="E8" s="28" t="s">
        <v>519</v>
      </c>
      <c r="F8" s="28" t="s">
        <v>518</v>
      </c>
      <c r="G8" s="28" t="s">
        <v>518</v>
      </c>
      <c r="H8" s="28" t="s">
        <v>546</v>
      </c>
      <c r="I8" s="28" t="s">
        <v>519</v>
      </c>
      <c r="J8" s="28" t="s">
        <v>519</v>
      </c>
      <c r="K8" s="28" t="s">
        <v>519</v>
      </c>
      <c r="L8" s="28" t="s">
        <v>519</v>
      </c>
      <c r="M8" s="29" t="s">
        <v>519</v>
      </c>
      <c r="N8" s="29" t="s">
        <v>540</v>
      </c>
      <c r="O8" s="29" t="s">
        <v>540</v>
      </c>
      <c r="P8" s="30"/>
      <c r="Q8" s="31" t="n">
        <v>3306</v>
      </c>
      <c r="R8" s="39" t="s">
        <v>542</v>
      </c>
      <c r="S8" s="33" t="n">
        <v>17</v>
      </c>
      <c r="T8" s="34"/>
      <c r="U8" s="35" t="n">
        <v>66311</v>
      </c>
      <c r="V8" s="120" t="n">
        <v>45654</v>
      </c>
      <c r="W8" s="120" t="n">
        <v>45651</v>
      </c>
      <c r="X8" s="120" t="n">
        <v>45651</v>
      </c>
      <c r="Y8" s="37" t="n">
        <v>18</v>
      </c>
      <c r="Z8" s="38"/>
      <c r="AA8" s="39"/>
      <c r="AB8" s="39"/>
      <c r="AC8" s="40"/>
      <c r="AD8" s="119" t="n">
        <v>45646</v>
      </c>
      <c r="AE8" s="28" t="n">
        <v>4.5</v>
      </c>
      <c r="AF8" s="119" t="n">
        <v>45646</v>
      </c>
      <c r="AG8" s="28" t="n">
        <v>4.5</v>
      </c>
      <c r="AH8" s="37" t="n">
        <f aca="false">SUM(AE8,AG8)</f>
        <v>9</v>
      </c>
      <c r="AI8" s="42"/>
      <c r="AJ8" s="43" t="str">
        <f aca="false">IF(AND(S8&gt;=12,Y8&gt;=12,AH8&gt;=6),"да","нет")</f>
        <v>да</v>
      </c>
      <c r="AK8" s="2"/>
      <c r="AL8" s="2" t="n">
        <v>40</v>
      </c>
      <c r="AM8" s="23" t="n">
        <f aca="false">SUM(S8,Y8,AA8,AB8,AH8,AL8,AK8)</f>
        <v>84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278</v>
      </c>
      <c r="C9" s="27" t="s">
        <v>146</v>
      </c>
      <c r="D9" s="27" t="n">
        <v>472157</v>
      </c>
      <c r="E9" s="28" t="s">
        <v>519</v>
      </c>
      <c r="F9" s="28" t="s">
        <v>546</v>
      </c>
      <c r="G9" s="28" t="s">
        <v>45</v>
      </c>
      <c r="H9" s="28" t="s">
        <v>519</v>
      </c>
      <c r="I9" s="28" t="s">
        <v>518</v>
      </c>
      <c r="J9" s="28" t="s">
        <v>45</v>
      </c>
      <c r="K9" s="28" t="s">
        <v>519</v>
      </c>
      <c r="L9" s="28" t="s">
        <v>540</v>
      </c>
      <c r="M9" s="29" t="s">
        <v>544</v>
      </c>
      <c r="N9" s="29" t="s">
        <v>540</v>
      </c>
      <c r="O9" s="29" t="s">
        <v>540</v>
      </c>
      <c r="P9" s="30"/>
      <c r="Q9" s="31" t="n">
        <v>3307</v>
      </c>
      <c r="R9" s="39" t="s">
        <v>547</v>
      </c>
      <c r="S9" s="33" t="n">
        <v>20</v>
      </c>
      <c r="T9" s="34"/>
      <c r="U9" s="35" t="n">
        <v>13749</v>
      </c>
      <c r="V9" s="28" t="s">
        <v>543</v>
      </c>
      <c r="W9" s="28" t="s">
        <v>543</v>
      </c>
      <c r="X9" s="119" t="n">
        <v>45646</v>
      </c>
      <c r="Y9" s="37" t="n">
        <v>19</v>
      </c>
      <c r="Z9" s="38"/>
      <c r="AA9" s="39"/>
      <c r="AB9" s="39"/>
      <c r="AC9" s="44"/>
      <c r="AD9" s="119" t="n">
        <v>45646</v>
      </c>
      <c r="AE9" s="28" t="n">
        <v>4</v>
      </c>
      <c r="AF9" s="36" t="n">
        <v>45646</v>
      </c>
      <c r="AG9" s="28" t="n">
        <v>4</v>
      </c>
      <c r="AH9" s="37" t="n">
        <f aca="false">SUM(AE9,AG9)</f>
        <v>8</v>
      </c>
      <c r="AI9" s="42"/>
      <c r="AJ9" s="43" t="str">
        <f aca="false">IF(AND(S9&gt;=12,Y9&gt;=12,AH9&gt;=6),"да","нет")</f>
        <v>да</v>
      </c>
      <c r="AK9" s="2" t="n">
        <v>3</v>
      </c>
      <c r="AL9" s="2" t="n">
        <v>40</v>
      </c>
      <c r="AM9" s="23" t="n">
        <f aca="false">SUM(S9,Y9,AA9,AB9,AH9,AL9,AK9)</f>
        <v>90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329</v>
      </c>
      <c r="C10" s="27" t="s">
        <v>146</v>
      </c>
      <c r="D10" s="27" t="n">
        <v>466870</v>
      </c>
      <c r="E10" s="28" t="s">
        <v>518</v>
      </c>
      <c r="F10" s="28" t="s">
        <v>518</v>
      </c>
      <c r="G10" s="28" t="s">
        <v>518</v>
      </c>
      <c r="H10" s="28" t="s">
        <v>522</v>
      </c>
      <c r="I10" s="28" t="s">
        <v>533</v>
      </c>
      <c r="J10" s="28" t="s">
        <v>518</v>
      </c>
      <c r="K10" s="28" t="s">
        <v>519</v>
      </c>
      <c r="L10" s="28" t="s">
        <v>540</v>
      </c>
      <c r="M10" s="29" t="s">
        <v>544</v>
      </c>
      <c r="N10" s="29" t="s">
        <v>519</v>
      </c>
      <c r="O10" s="29" t="s">
        <v>519</v>
      </c>
      <c r="P10" s="30"/>
      <c r="Q10" s="31" t="n">
        <v>3308</v>
      </c>
      <c r="R10" s="39" t="s">
        <v>542</v>
      </c>
      <c r="S10" s="33" t="n">
        <v>12</v>
      </c>
      <c r="T10" s="34"/>
      <c r="U10" s="35" t="n">
        <v>987833</v>
      </c>
      <c r="V10" s="36" t="n">
        <v>45673</v>
      </c>
      <c r="W10" s="120" t="n">
        <v>45651</v>
      </c>
      <c r="X10" s="36" t="n">
        <v>45673</v>
      </c>
      <c r="Y10" s="37" t="n">
        <v>15</v>
      </c>
      <c r="Z10" s="38"/>
      <c r="AA10" s="39"/>
      <c r="AB10" s="39"/>
      <c r="AC10" s="40"/>
      <c r="AD10" s="119" t="n">
        <v>45682</v>
      </c>
      <c r="AE10" s="28" t="n">
        <v>3</v>
      </c>
      <c r="AF10" s="119" t="n">
        <v>45682</v>
      </c>
      <c r="AG10" s="28" t="n">
        <v>3</v>
      </c>
      <c r="AH10" s="37" t="n">
        <f aca="false">SUM(AE10,AG10)</f>
        <v>6</v>
      </c>
      <c r="AI10" s="42"/>
      <c r="AJ10" s="43" t="str">
        <f aca="false">IF(AND(S10&gt;=12,Y10&gt;=12,AH10&gt;=6),"да","нет")</f>
        <v>да</v>
      </c>
      <c r="AK10" s="2"/>
      <c r="AL10" s="2" t="n">
        <v>30</v>
      </c>
      <c r="AM10" s="23" t="n">
        <f aca="false">SUM(S10,Y10,AA10,AB10,AH10,AL10,AK10)</f>
        <v>63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350</v>
      </c>
      <c r="C11" s="27" t="s">
        <v>146</v>
      </c>
      <c r="D11" s="27" t="n">
        <v>467039</v>
      </c>
      <c r="E11" s="28" t="s">
        <v>519</v>
      </c>
      <c r="F11" s="28" t="s">
        <v>519</v>
      </c>
      <c r="G11" s="28" t="s">
        <v>519</v>
      </c>
      <c r="H11" s="28" t="s">
        <v>519</v>
      </c>
      <c r="I11" s="28" t="s">
        <v>522</v>
      </c>
      <c r="J11" s="28" t="s">
        <v>519</v>
      </c>
      <c r="K11" s="28" t="s">
        <v>519</v>
      </c>
      <c r="L11" s="28" t="s">
        <v>544</v>
      </c>
      <c r="M11" s="29" t="s">
        <v>519</v>
      </c>
      <c r="N11" s="29" t="s">
        <v>540</v>
      </c>
      <c r="O11" s="29" t="s">
        <v>540</v>
      </c>
      <c r="P11" s="30"/>
      <c r="Q11" s="31" t="n">
        <v>3309</v>
      </c>
      <c r="R11" s="39" t="s">
        <v>542</v>
      </c>
      <c r="S11" s="33" t="n">
        <v>18</v>
      </c>
      <c r="T11" s="34"/>
      <c r="U11" s="35" t="n">
        <v>19557</v>
      </c>
      <c r="V11" s="120" t="n">
        <v>45654</v>
      </c>
      <c r="W11" s="28" t="s">
        <v>543</v>
      </c>
      <c r="X11" s="119" t="n">
        <v>45646</v>
      </c>
      <c r="Y11" s="37" t="n">
        <v>16</v>
      </c>
      <c r="Z11" s="38"/>
      <c r="AA11" s="39"/>
      <c r="AB11" s="39"/>
      <c r="AC11" s="40"/>
      <c r="AD11" s="119" t="n">
        <v>45667</v>
      </c>
      <c r="AE11" s="28" t="n">
        <v>3</v>
      </c>
      <c r="AF11" s="119" t="n">
        <v>45667</v>
      </c>
      <c r="AG11" s="28" t="n">
        <v>3</v>
      </c>
      <c r="AH11" s="37" t="n">
        <f aca="false">SUM(AE11,AG11)</f>
        <v>6</v>
      </c>
      <c r="AI11" s="42"/>
      <c r="AJ11" s="43" t="str">
        <f aca="false">IF(AND(S11&gt;=12,Y11&gt;=12,AH11&gt;=6),"да","нет")</f>
        <v>да</v>
      </c>
      <c r="AK11" s="2"/>
      <c r="AL11" s="2" t="n">
        <v>24</v>
      </c>
      <c r="AM11" s="23" t="n">
        <f aca="false">SUM(S11,Y11,AA11,AB11,AH11,AL11,AK11)</f>
        <v>64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355</v>
      </c>
      <c r="C12" s="27" t="s">
        <v>146</v>
      </c>
      <c r="D12" s="27" t="n">
        <v>467109</v>
      </c>
      <c r="E12" s="28" t="s">
        <v>519</v>
      </c>
      <c r="F12" s="28" t="s">
        <v>525</v>
      </c>
      <c r="G12" s="28" t="s">
        <v>519</v>
      </c>
      <c r="H12" s="28" t="s">
        <v>518</v>
      </c>
      <c r="I12" s="28" t="s">
        <v>518</v>
      </c>
      <c r="J12" s="28" t="s">
        <v>519</v>
      </c>
      <c r="K12" s="28" t="s">
        <v>519</v>
      </c>
      <c r="L12" s="28" t="s">
        <v>540</v>
      </c>
      <c r="M12" s="29" t="s">
        <v>45</v>
      </c>
      <c r="N12" s="29" t="s">
        <v>540</v>
      </c>
      <c r="O12" s="29" t="s">
        <v>540</v>
      </c>
      <c r="P12" s="30"/>
      <c r="Q12" s="31" t="n">
        <v>3310</v>
      </c>
      <c r="R12" s="39" t="s">
        <v>548</v>
      </c>
      <c r="S12" s="33" t="n">
        <v>18</v>
      </c>
      <c r="T12" s="34"/>
      <c r="U12" s="35" t="n">
        <v>236778</v>
      </c>
      <c r="V12" s="119" t="n">
        <v>45646</v>
      </c>
      <c r="W12" s="28" t="s">
        <v>542</v>
      </c>
      <c r="X12" s="28" t="s">
        <v>542</v>
      </c>
      <c r="Y12" s="37" t="n">
        <v>18</v>
      </c>
      <c r="Z12" s="38"/>
      <c r="AA12" s="39"/>
      <c r="AB12" s="39"/>
      <c r="AC12" s="40"/>
      <c r="AD12" s="119" t="n">
        <v>45654</v>
      </c>
      <c r="AE12" s="28" t="n">
        <v>3</v>
      </c>
      <c r="AF12" s="119" t="n">
        <v>45654</v>
      </c>
      <c r="AG12" s="28" t="n">
        <v>3</v>
      </c>
      <c r="AH12" s="37" t="n">
        <f aca="false">SUM(AE12,AG12)</f>
        <v>6</v>
      </c>
      <c r="AI12" s="42"/>
      <c r="AJ12" s="43" t="str">
        <f aca="false">IF(AND(S12&gt;=12,Y12&gt;=12,AH12&gt;=6),"да","нет")</f>
        <v>да</v>
      </c>
      <c r="AK12" s="2"/>
      <c r="AL12" s="2" t="n">
        <v>37</v>
      </c>
      <c r="AM12" s="23" t="n">
        <f aca="false">SUM(S12,Y12,AA12,AB12,AH12,AL12,AK12)</f>
        <v>79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26" t="s">
        <v>375</v>
      </c>
      <c r="C13" s="27" t="s">
        <v>146</v>
      </c>
      <c r="D13" s="27" t="n">
        <v>475186</v>
      </c>
      <c r="E13" s="28" t="s">
        <v>519</v>
      </c>
      <c r="F13" s="28" t="s">
        <v>45</v>
      </c>
      <c r="G13" s="28" t="s">
        <v>45</v>
      </c>
      <c r="H13" s="28" t="s">
        <v>45</v>
      </c>
      <c r="I13" s="28" t="s">
        <v>45</v>
      </c>
      <c r="J13" s="28" t="s">
        <v>519</v>
      </c>
      <c r="K13" s="28" t="s">
        <v>525</v>
      </c>
      <c r="L13" s="28" t="s">
        <v>540</v>
      </c>
      <c r="M13" s="29" t="s">
        <v>544</v>
      </c>
      <c r="N13" s="29" t="s">
        <v>540</v>
      </c>
      <c r="O13" s="29" t="s">
        <v>544</v>
      </c>
      <c r="P13" s="30" t="s">
        <v>544</v>
      </c>
      <c r="Q13" s="31" t="n">
        <v>3311</v>
      </c>
      <c r="R13" s="121" t="n">
        <v>45651</v>
      </c>
      <c r="S13" s="33" t="n">
        <v>16</v>
      </c>
      <c r="T13" s="34"/>
      <c r="U13" s="35" t="n">
        <v>3143444</v>
      </c>
      <c r="V13" s="119" t="n">
        <v>45682</v>
      </c>
      <c r="W13" s="36" t="n">
        <v>45675</v>
      </c>
      <c r="X13" s="119" t="n">
        <v>45682</v>
      </c>
      <c r="Y13" s="37" t="n">
        <v>12</v>
      </c>
      <c r="Z13" s="38"/>
      <c r="AA13" s="39"/>
      <c r="AB13" s="39"/>
      <c r="AC13" s="40"/>
      <c r="AD13" s="119" t="n">
        <v>45682</v>
      </c>
      <c r="AE13" s="28" t="n">
        <v>3</v>
      </c>
      <c r="AF13" s="119" t="n">
        <v>45682</v>
      </c>
      <c r="AG13" s="28" t="n">
        <v>3</v>
      </c>
      <c r="AH13" s="37" t="n">
        <f aca="false">SUM(AE13,AG13)</f>
        <v>6</v>
      </c>
      <c r="AI13" s="42"/>
      <c r="AJ13" s="43" t="str">
        <f aca="false">IF(AND(S13&gt;=12,Y13&gt;=12,AH13&gt;=6),"да","нет")</f>
        <v>да</v>
      </c>
      <c r="AK13" s="2"/>
      <c r="AL13" s="2" t="n">
        <v>26</v>
      </c>
      <c r="AM13" s="23" t="n">
        <f aca="false">SUM(S13,Y13,AA13,AB13,AH13,AL13,AK13)</f>
        <v>60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380</v>
      </c>
      <c r="C14" s="27" t="s">
        <v>146</v>
      </c>
      <c r="D14" s="27" t="n">
        <v>467242</v>
      </c>
      <c r="E14" s="28" t="s">
        <v>519</v>
      </c>
      <c r="F14" s="28" t="s">
        <v>519</v>
      </c>
      <c r="G14" s="28" t="s">
        <v>525</v>
      </c>
      <c r="H14" s="28" t="s">
        <v>518</v>
      </c>
      <c r="I14" s="28" t="s">
        <v>518</v>
      </c>
      <c r="J14" s="28" t="s">
        <v>519</v>
      </c>
      <c r="K14" s="28" t="s">
        <v>522</v>
      </c>
      <c r="L14" s="28" t="s">
        <v>519</v>
      </c>
      <c r="M14" s="29" t="s">
        <v>544</v>
      </c>
      <c r="N14" s="29" t="s">
        <v>540</v>
      </c>
      <c r="O14" s="29" t="s">
        <v>540</v>
      </c>
      <c r="P14" s="30"/>
      <c r="Q14" s="31" t="n">
        <v>3312</v>
      </c>
      <c r="R14" s="39" t="s">
        <v>548</v>
      </c>
      <c r="S14" s="33" t="n">
        <v>17</v>
      </c>
      <c r="T14" s="34"/>
      <c r="U14" s="35" t="n">
        <v>18464</v>
      </c>
      <c r="V14" s="120" t="n">
        <v>45651</v>
      </c>
      <c r="W14" s="28" t="s">
        <v>542</v>
      </c>
      <c r="X14" s="120" t="n">
        <v>45651</v>
      </c>
      <c r="Y14" s="37" t="n">
        <v>18</v>
      </c>
      <c r="Z14" s="38"/>
      <c r="AA14" s="39"/>
      <c r="AB14" s="39"/>
      <c r="AC14" s="40"/>
      <c r="AD14" s="119" t="n">
        <v>45667</v>
      </c>
      <c r="AE14" s="28" t="n">
        <v>3</v>
      </c>
      <c r="AF14" s="119" t="n">
        <v>45667</v>
      </c>
      <c r="AG14" s="28" t="n">
        <v>3</v>
      </c>
      <c r="AH14" s="37" t="n">
        <f aca="false">SUM(AE14,AG14)</f>
        <v>6</v>
      </c>
      <c r="AI14" s="42"/>
      <c r="AJ14" s="43" t="str">
        <f aca="false">IF(AND(S14&gt;=12,Y14&gt;=12,AH14&gt;=6),"да","нет")</f>
        <v>да</v>
      </c>
      <c r="AK14" s="2" t="n">
        <v>3</v>
      </c>
      <c r="AL14" s="2" t="n">
        <v>24</v>
      </c>
      <c r="AM14" s="23" t="n">
        <f aca="false">SUM(S14,Y14,AA14,AB14,AH14,AL14,AK14)</f>
        <v>68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396</v>
      </c>
      <c r="C15" s="27" t="s">
        <v>146</v>
      </c>
      <c r="D15" s="27" t="n">
        <v>467363</v>
      </c>
      <c r="E15" s="28" t="s">
        <v>519</v>
      </c>
      <c r="F15" s="28" t="s">
        <v>525</v>
      </c>
      <c r="G15" s="28" t="s">
        <v>519</v>
      </c>
      <c r="H15" s="28" t="s">
        <v>45</v>
      </c>
      <c r="I15" s="28" t="s">
        <v>45</v>
      </c>
      <c r="J15" s="28" t="s">
        <v>519</v>
      </c>
      <c r="K15" s="28" t="s">
        <v>522</v>
      </c>
      <c r="L15" s="28" t="s">
        <v>519</v>
      </c>
      <c r="M15" s="29" t="s">
        <v>519</v>
      </c>
      <c r="N15" s="29" t="s">
        <v>540</v>
      </c>
      <c r="O15" s="29" t="s">
        <v>540</v>
      </c>
      <c r="P15" s="30"/>
      <c r="Q15" s="31" t="n">
        <v>3313</v>
      </c>
      <c r="R15" s="39" t="s">
        <v>548</v>
      </c>
      <c r="S15" s="33" t="n">
        <v>18</v>
      </c>
      <c r="T15" s="34"/>
      <c r="U15" s="35" t="n">
        <v>144724</v>
      </c>
      <c r="V15" s="120" t="n">
        <v>45651</v>
      </c>
      <c r="W15" s="28" t="s">
        <v>542</v>
      </c>
      <c r="X15" s="120" t="n">
        <v>45646</v>
      </c>
      <c r="Y15" s="37" t="n">
        <v>17</v>
      </c>
      <c r="Z15" s="38"/>
      <c r="AA15" s="39"/>
      <c r="AB15" s="39"/>
      <c r="AC15" s="40"/>
      <c r="AD15" s="119" t="n">
        <v>45667</v>
      </c>
      <c r="AE15" s="28" t="n">
        <v>3</v>
      </c>
      <c r="AF15" s="119" t="n">
        <v>45667</v>
      </c>
      <c r="AG15" s="28" t="n">
        <v>3</v>
      </c>
      <c r="AH15" s="37" t="n">
        <f aca="false">SUM(AE15,AG15)</f>
        <v>6</v>
      </c>
      <c r="AI15" s="42"/>
      <c r="AJ15" s="43" t="str">
        <f aca="false">IF(AND(S15&gt;=12,Y15&gt;=12,AH15&gt;=6),"да","нет")</f>
        <v>да</v>
      </c>
      <c r="AK15" s="2"/>
      <c r="AL15" s="37" t="n">
        <v>38</v>
      </c>
      <c r="AM15" s="23" t="n">
        <f aca="false">SUM(S15,Y15,AA15,AB15,AH15,AL15,AK15)</f>
        <v>79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417</v>
      </c>
      <c r="C16" s="27" t="s">
        <v>146</v>
      </c>
      <c r="D16" s="27" t="n">
        <v>467507</v>
      </c>
      <c r="E16" s="28" t="s">
        <v>519</v>
      </c>
      <c r="F16" s="28" t="s">
        <v>525</v>
      </c>
      <c r="G16" s="28" t="s">
        <v>525</v>
      </c>
      <c r="H16" s="28" t="s">
        <v>519</v>
      </c>
      <c r="I16" s="28" t="s">
        <v>525</v>
      </c>
      <c r="J16" s="28" t="s">
        <v>519</v>
      </c>
      <c r="K16" s="28" t="s">
        <v>518</v>
      </c>
      <c r="L16" s="28" t="s">
        <v>544</v>
      </c>
      <c r="M16" s="29" t="s">
        <v>544</v>
      </c>
      <c r="N16" s="29" t="s">
        <v>540</v>
      </c>
      <c r="O16" s="29" t="s">
        <v>540</v>
      </c>
      <c r="P16" s="30"/>
      <c r="Q16" s="31" t="n">
        <v>3314</v>
      </c>
      <c r="R16" s="39" t="s">
        <v>548</v>
      </c>
      <c r="S16" s="33" t="n">
        <v>19</v>
      </c>
      <c r="T16" s="34"/>
      <c r="U16" s="35" t="n">
        <v>667507</v>
      </c>
      <c r="V16" s="28" t="s">
        <v>542</v>
      </c>
      <c r="W16" s="28" t="s">
        <v>541</v>
      </c>
      <c r="X16" s="28" t="s">
        <v>542</v>
      </c>
      <c r="Y16" s="37" t="n">
        <v>18</v>
      </c>
      <c r="Z16" s="38"/>
      <c r="AA16" s="39"/>
      <c r="AB16" s="39"/>
      <c r="AC16" s="40"/>
      <c r="AD16" s="119" t="n">
        <v>45667</v>
      </c>
      <c r="AE16" s="28" t="n">
        <v>3</v>
      </c>
      <c r="AF16" s="119" t="n">
        <v>45667</v>
      </c>
      <c r="AG16" s="28" t="n">
        <v>3</v>
      </c>
      <c r="AH16" s="37" t="n">
        <f aca="false">SUM(AE16,AG16)</f>
        <v>6</v>
      </c>
      <c r="AI16" s="42"/>
      <c r="AJ16" s="43" t="str">
        <f aca="false">IF(AND(S16&gt;=12,Y16&gt;=12,AH16&gt;=6),"да","нет")</f>
        <v>да</v>
      </c>
      <c r="AK16" s="2" t="n">
        <v>3</v>
      </c>
      <c r="AL16" s="2" t="n">
        <v>24</v>
      </c>
      <c r="AM16" s="23" t="n">
        <f aca="false">SUM(S16,Y16,AA16,AB16,AH16,AL16,AK16)</f>
        <v>70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428</v>
      </c>
      <c r="C17" s="27" t="s">
        <v>146</v>
      </c>
      <c r="D17" s="27" t="n">
        <v>467579</v>
      </c>
      <c r="E17" s="28" t="s">
        <v>519</v>
      </c>
      <c r="F17" s="28" t="s">
        <v>525</v>
      </c>
      <c r="G17" s="28" t="s">
        <v>519</v>
      </c>
      <c r="H17" s="28" t="s">
        <v>519</v>
      </c>
      <c r="I17" s="28" t="s">
        <v>546</v>
      </c>
      <c r="J17" s="28" t="s">
        <v>519</v>
      </c>
      <c r="K17" s="28" t="s">
        <v>45</v>
      </c>
      <c r="L17" s="28" t="s">
        <v>544</v>
      </c>
      <c r="M17" s="29" t="s">
        <v>544</v>
      </c>
      <c r="N17" s="29" t="s">
        <v>540</v>
      </c>
      <c r="O17" s="29" t="s">
        <v>540</v>
      </c>
      <c r="P17" s="30"/>
      <c r="Q17" s="31" t="n">
        <v>3315</v>
      </c>
      <c r="R17" s="39" t="s">
        <v>548</v>
      </c>
      <c r="S17" s="33" t="n">
        <v>18</v>
      </c>
      <c r="T17" s="34"/>
      <c r="U17" s="35" t="n">
        <v>11652</v>
      </c>
      <c r="V17" s="28" t="s">
        <v>542</v>
      </c>
      <c r="W17" s="28" t="s">
        <v>545</v>
      </c>
      <c r="X17" s="28" t="s">
        <v>542</v>
      </c>
      <c r="Y17" s="37" t="n">
        <v>18</v>
      </c>
      <c r="Z17" s="38"/>
      <c r="AA17" s="39"/>
      <c r="AB17" s="39"/>
      <c r="AC17" s="44"/>
      <c r="AD17" s="119" t="n">
        <v>45646</v>
      </c>
      <c r="AE17" s="28" t="n">
        <v>4.5</v>
      </c>
      <c r="AF17" s="119" t="n">
        <v>45646</v>
      </c>
      <c r="AG17" s="28" t="n">
        <v>4.5</v>
      </c>
      <c r="AH17" s="37" t="n">
        <f aca="false">SUM(AE17,AG17)</f>
        <v>9</v>
      </c>
      <c r="AI17" s="42"/>
      <c r="AJ17" s="43" t="str">
        <f aca="false">IF(AND(S17&gt;=12,Y17&gt;=12,AH17&gt;=6),"да","нет")</f>
        <v>да</v>
      </c>
      <c r="AK17" s="2"/>
      <c r="AL17" s="2" t="n">
        <v>40</v>
      </c>
      <c r="AM17" s="23" t="n">
        <f aca="false">SUM(S17,Y17,AA17,AB17,AH17,AL17,AK17)</f>
        <v>85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440</v>
      </c>
      <c r="C18" s="27" t="s">
        <v>146</v>
      </c>
      <c r="D18" s="27" t="n">
        <v>467649</v>
      </c>
      <c r="E18" s="28" t="s">
        <v>519</v>
      </c>
      <c r="F18" s="28" t="s">
        <v>45</v>
      </c>
      <c r="G18" s="28" t="s">
        <v>519</v>
      </c>
      <c r="H18" s="28" t="s">
        <v>522</v>
      </c>
      <c r="I18" s="28" t="s">
        <v>45</v>
      </c>
      <c r="J18" s="28" t="s">
        <v>519</v>
      </c>
      <c r="K18" s="28" t="s">
        <v>519</v>
      </c>
      <c r="L18" s="28" t="s">
        <v>519</v>
      </c>
      <c r="M18" s="29" t="s">
        <v>519</v>
      </c>
      <c r="N18" s="29" t="s">
        <v>540</v>
      </c>
      <c r="O18" s="29" t="s">
        <v>540</v>
      </c>
      <c r="P18" s="30"/>
      <c r="Q18" s="31" t="n">
        <v>3316</v>
      </c>
      <c r="R18" s="39" t="s">
        <v>541</v>
      </c>
      <c r="S18" s="33" t="n">
        <v>17</v>
      </c>
      <c r="T18" s="34"/>
      <c r="U18" s="35" t="n">
        <v>245665</v>
      </c>
      <c r="V18" s="120" t="n">
        <v>45651</v>
      </c>
      <c r="W18" s="28" t="s">
        <v>543</v>
      </c>
      <c r="X18" s="120" t="n">
        <v>45646</v>
      </c>
      <c r="Y18" s="37" t="n">
        <v>17</v>
      </c>
      <c r="Z18" s="38"/>
      <c r="AA18" s="39"/>
      <c r="AB18" s="39"/>
      <c r="AC18" s="40"/>
      <c r="AD18" s="119" t="n">
        <v>45667</v>
      </c>
      <c r="AE18" s="28" t="n">
        <v>3</v>
      </c>
      <c r="AF18" s="119" t="n">
        <v>45667</v>
      </c>
      <c r="AG18" s="28" t="n">
        <v>3</v>
      </c>
      <c r="AH18" s="37" t="n">
        <f aca="false">SUM(AE18,AG18)</f>
        <v>6</v>
      </c>
      <c r="AI18" s="42"/>
      <c r="AJ18" s="43" t="str">
        <f aca="false">IF(AND(S18&gt;=12,Y18&gt;=12,AH18&gt;=6),"да","нет")</f>
        <v>да</v>
      </c>
      <c r="AK18" s="2"/>
      <c r="AL18" s="2" t="n">
        <v>35</v>
      </c>
      <c r="AM18" s="23" t="n">
        <f aca="false">SUM(S18,Y18,AA18,AB18,AH18,AL18,AK18)</f>
        <v>75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506</v>
      </c>
      <c r="C19" s="27" t="s">
        <v>146</v>
      </c>
      <c r="D19" s="27" t="n">
        <v>468198</v>
      </c>
      <c r="E19" s="28" t="s">
        <v>519</v>
      </c>
      <c r="F19" s="28" t="s">
        <v>45</v>
      </c>
      <c r="G19" s="28" t="s">
        <v>45</v>
      </c>
      <c r="H19" s="28" t="s">
        <v>518</v>
      </c>
      <c r="I19" s="28" t="s">
        <v>519</v>
      </c>
      <c r="J19" s="28" t="s">
        <v>519</v>
      </c>
      <c r="K19" s="28" t="s">
        <v>519</v>
      </c>
      <c r="L19" s="28" t="s">
        <v>519</v>
      </c>
      <c r="M19" s="29" t="s">
        <v>544</v>
      </c>
      <c r="N19" s="29" t="s">
        <v>522</v>
      </c>
      <c r="O19" s="29" t="s">
        <v>540</v>
      </c>
      <c r="P19" s="30"/>
      <c r="Q19" s="31" t="n">
        <v>3317</v>
      </c>
      <c r="R19" s="39" t="s">
        <v>542</v>
      </c>
      <c r="S19" s="33" t="n">
        <v>17</v>
      </c>
      <c r="T19" s="34"/>
      <c r="U19" s="35" t="n">
        <v>14792</v>
      </c>
      <c r="V19" s="120" t="n">
        <v>45654</v>
      </c>
      <c r="W19" s="28" t="s">
        <v>543</v>
      </c>
      <c r="X19" s="120" t="n">
        <v>45651</v>
      </c>
      <c r="Y19" s="37" t="n">
        <v>17</v>
      </c>
      <c r="Z19" s="38"/>
      <c r="AA19" s="39"/>
      <c r="AB19" s="39"/>
      <c r="AC19" s="40"/>
      <c r="AD19" s="119" t="n">
        <v>45667</v>
      </c>
      <c r="AE19" s="28" t="n">
        <v>3</v>
      </c>
      <c r="AF19" s="119" t="n">
        <v>45667</v>
      </c>
      <c r="AG19" s="28" t="n">
        <v>3</v>
      </c>
      <c r="AH19" s="37" t="n">
        <f aca="false">SUM(AE19,AG19)</f>
        <v>6</v>
      </c>
      <c r="AI19" s="42"/>
      <c r="AJ19" s="43" t="str">
        <f aca="false">IF(AND(S19&gt;=12,Y19&gt;=12,AH19&gt;=6),"да","нет")</f>
        <v>да</v>
      </c>
      <c r="AK19" s="2"/>
      <c r="AL19" s="2" t="n">
        <v>24</v>
      </c>
      <c r="AM19" s="23" t="n">
        <f aca="false">SUM(S19,Y19,AA19,AB19,AH19,AL19,AK19)</f>
        <v>64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 t="s">
        <v>145</v>
      </c>
      <c r="C20" s="27" t="s">
        <v>146</v>
      </c>
      <c r="D20" s="27" t="n">
        <v>465479</v>
      </c>
      <c r="E20" s="28" t="s">
        <v>519</v>
      </c>
      <c r="F20" s="28" t="s">
        <v>518</v>
      </c>
      <c r="G20" s="28" t="s">
        <v>518</v>
      </c>
      <c r="H20" s="28" t="s">
        <v>45</v>
      </c>
      <c r="I20" s="28" t="s">
        <v>518</v>
      </c>
      <c r="J20" s="28" t="s">
        <v>45</v>
      </c>
      <c r="K20" s="28" t="s">
        <v>519</v>
      </c>
      <c r="L20" s="28" t="s">
        <v>522</v>
      </c>
      <c r="M20" s="29" t="s">
        <v>522</v>
      </c>
      <c r="N20" s="29" t="s">
        <v>525</v>
      </c>
      <c r="O20" s="29" t="s">
        <v>540</v>
      </c>
      <c r="P20" s="30"/>
      <c r="Q20" s="31" t="n">
        <v>3318</v>
      </c>
      <c r="R20" s="120" t="n">
        <v>45654</v>
      </c>
      <c r="S20" s="37" t="n">
        <v>12</v>
      </c>
      <c r="T20" s="47"/>
      <c r="U20" s="2" t="n">
        <v>999777</v>
      </c>
      <c r="V20" s="36" t="n">
        <v>45701</v>
      </c>
      <c r="W20" s="36" t="n">
        <v>45696</v>
      </c>
      <c r="X20" s="77" t="n">
        <v>45696</v>
      </c>
      <c r="Y20" s="37" t="n">
        <v>14</v>
      </c>
      <c r="Z20" s="38"/>
      <c r="AA20" s="39"/>
      <c r="AB20" s="39"/>
      <c r="AC20" s="48"/>
      <c r="AD20" s="119" t="n">
        <v>45667</v>
      </c>
      <c r="AE20" s="28" t="n">
        <v>3</v>
      </c>
      <c r="AF20" s="119" t="n">
        <v>45667</v>
      </c>
      <c r="AG20" s="28" t="n">
        <v>3</v>
      </c>
      <c r="AH20" s="37" t="n">
        <f aca="false">SUM(AE20,AG20)</f>
        <v>6</v>
      </c>
      <c r="AI20" s="42"/>
      <c r="AJ20" s="43" t="str">
        <f aca="false">IF(AND(S20&gt;=12,Y20&gt;=12,AH20&gt;=6),"да","нет")</f>
        <v>да</v>
      </c>
      <c r="AK20" s="2"/>
      <c r="AL20" s="2" t="n">
        <v>28</v>
      </c>
      <c r="AM20" s="23" t="n">
        <f aca="false">SUM(S20,Y20,AA20,AB20,AH20,AL20,AK20)</f>
        <v>60</v>
      </c>
      <c r="AN20" s="29" t="str">
        <f aca="false">IF(AND(S20&gt;=12,Y20&gt;=12,AH20&gt;=6,AL20&gt;=24,AM20&gt;=60),"Зачет","Незачет")</f>
        <v>Зачет</v>
      </c>
    </row>
    <row r="21" customFormat="false" ht="15.75" hidden="false" customHeight="false" outlineLevel="0" collapsed="false"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28"/>
      <c r="AH21" s="37" t="n">
        <f aca="false">SUM(AE21,AG21)</f>
        <v>0</v>
      </c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17</v>
      </c>
      <c r="F25" s="37" t="n">
        <f aca="false">COUNTIF(F$3:F$23, "~**")</f>
        <v>8</v>
      </c>
      <c r="G25" s="37" t="n">
        <f aca="false">COUNTIF(G$3:G$23, "~**")</f>
        <v>9</v>
      </c>
      <c r="H25" s="37" t="n">
        <f aca="false">COUNTIF(H$3:H$23, "~**")</f>
        <v>9</v>
      </c>
      <c r="I25" s="37" t="n">
        <f aca="false">COUNTIF(I$3:I$23, "~**")</f>
        <v>8</v>
      </c>
      <c r="J25" s="37" t="n">
        <f aca="false">COUNTIF(J$3:J$23, "~**")</f>
        <v>13</v>
      </c>
      <c r="K25" s="37" t="n">
        <f aca="false">COUNTIF(K$3:K$23, "~**")</f>
        <v>15</v>
      </c>
      <c r="L25" s="37" t="n">
        <f aca="false">COUNTIF(L$3:L$23, "~**")</f>
        <v>10</v>
      </c>
      <c r="M25" s="54" t="n">
        <f aca="false">COUNTIF(M$3:M$23, "~**")</f>
        <v>7</v>
      </c>
      <c r="N25" s="54" t="n">
        <f aca="false">COUNTIF(N$3:N$23, "~**")</f>
        <v>4</v>
      </c>
      <c r="O25" s="54" t="n">
        <f aca="false">COUNTIF(O$3:O$23, "~**")</f>
        <v>2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17</v>
      </c>
      <c r="F26" s="37" t="n">
        <f aca="false">COUNTIF(F$3:F$23, "~**")+COUNTIF(F$3:F$23, "Y")</f>
        <v>12</v>
      </c>
      <c r="G26" s="37" t="n">
        <f aca="false">COUNTIF(G$3:G$23, "~**")+COUNTIF(G$3:G$23, "Y")</f>
        <v>13</v>
      </c>
      <c r="H26" s="37" t="n">
        <f aca="false">COUNTIF(H$3:H$23, "~**")+COUNTIF(H$3:H$23, "Y")</f>
        <v>12</v>
      </c>
      <c r="I26" s="37" t="n">
        <f aca="false">COUNTIF(I$3:I$23, "~**")+COUNTIF(I$3:I$23, "Y")</f>
        <v>11</v>
      </c>
      <c r="J26" s="37" t="n">
        <f aca="false">COUNTIF(J$3:J$23, "~**")+COUNTIF(J$3:J$23, "Y")</f>
        <v>17</v>
      </c>
      <c r="K26" s="37" t="n">
        <f aca="false">COUNTIF(K$3:K$23, "~**")+COUNTIF(K$3:K$23, "Y")</f>
        <v>16</v>
      </c>
      <c r="L26" s="37" t="n">
        <f aca="false">COUNTIF(L$3:L$23, "~**")+COUNTIF(L$3:L$23, "Y")</f>
        <v>13</v>
      </c>
      <c r="M26" s="54" t="n">
        <f aca="false">COUNTIF(M$3:M$23, "~**")+COUNTIF(M$3:M$23, "Y")</f>
        <v>18</v>
      </c>
      <c r="N26" s="54" t="n">
        <f aca="false">COUNTIF(N$3:N$23, "~**")+COUNTIF(N$3:N$23, "Y")</f>
        <v>4</v>
      </c>
      <c r="O26" s="54" t="n">
        <f aca="false">COUNTIF(O$3:O$23, "~**")+COUNTIF(O$3:O$23, "Y")</f>
        <v>3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1</v>
      </c>
      <c r="T28" s="62"/>
      <c r="U28" s="61"/>
      <c r="V28" s="61"/>
      <c r="W28" s="61"/>
      <c r="X28" s="61"/>
      <c r="Y28" s="61" t="n">
        <f aca="false">IFERROR(COUNTA(Y$3:Y23)/COUNTA($B$3:$B$23), 0)</f>
        <v>1</v>
      </c>
      <c r="Z28" s="63"/>
      <c r="AA28" s="2"/>
      <c r="AB28" s="2"/>
      <c r="AC28" s="57"/>
      <c r="AE28" s="61" t="n">
        <f aca="false">IFERROR(COUNTIF(AE$3:AE23, "&gt;0")/COUNTA($B$3:$B$22), 0)</f>
        <v>1</v>
      </c>
      <c r="AG28" s="61" t="n">
        <f aca="false">IFERROR(COUNTIF(AG$3:AG23, "&gt;0")/COUNTA($B$3:$B$22), 0)</f>
        <v>1</v>
      </c>
      <c r="AH28" s="61" t="n">
        <f aca="false">IFERROR(COUNTIF(AH$3:AH23, "&gt;0")/COUNTA($B$3:$B$22), 0)</f>
        <v>1</v>
      </c>
      <c r="AI28" s="64"/>
      <c r="AJ28" s="65"/>
      <c r="AK28" s="2"/>
      <c r="AL28" s="61" t="n">
        <f aca="false">IFERROR(COUNTIF(AL$3:AL23, "&gt;24")/COUNTA($B$3:$B$22), 0)</f>
        <v>0.7222222222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:S23 Y3:AB23 AH3:AH23 AK3:AL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3">
    <cfRule type="expression" priority="7" aboveAverage="0" equalAverage="0" bottom="0" percent="0" rank="0" text="" dxfId="5">
      <formula>R3&gt;45230</formula>
    </cfRule>
  </conditionalFormatting>
  <conditionalFormatting sqref="V3:X23 AC3:AG23 R7 R11 R19:R20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FF"/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549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45173</v>
      </c>
      <c r="F2" s="15" t="n">
        <f aca="false">E2+14</f>
        <v>45187</v>
      </c>
      <c r="G2" s="15" t="n">
        <f aca="false">F2+14</f>
        <v>45201</v>
      </c>
      <c r="H2" s="15" t="n">
        <f aca="false">G2+14</f>
        <v>45215</v>
      </c>
      <c r="I2" s="15" t="n">
        <f aca="false">H2+14</f>
        <v>45229</v>
      </c>
      <c r="J2" s="15" t="n">
        <f aca="false">I2+14</f>
        <v>45243</v>
      </c>
      <c r="K2" s="15" t="n">
        <f aca="false">J2+14</f>
        <v>45257</v>
      </c>
      <c r="L2" s="15" t="n">
        <f aca="false">K2+14</f>
        <v>45271</v>
      </c>
      <c r="M2" s="16" t="n">
        <v>45644</v>
      </c>
      <c r="N2" s="17" t="n">
        <v>45656</v>
      </c>
      <c r="O2" s="17" t="n">
        <v>45666</v>
      </c>
      <c r="P2" s="18"/>
      <c r="Q2" s="19" t="s">
        <v>17</v>
      </c>
      <c r="R2" s="20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92</v>
      </c>
      <c r="C3" s="27" t="s">
        <v>93</v>
      </c>
      <c r="D3" s="27" t="n">
        <v>464917</v>
      </c>
      <c r="E3" s="28" t="s">
        <v>45</v>
      </c>
      <c r="F3" s="28" t="s">
        <v>45</v>
      </c>
      <c r="G3" s="28" t="s">
        <v>45</v>
      </c>
      <c r="H3" s="28" t="s">
        <v>45</v>
      </c>
      <c r="I3" s="28" t="s">
        <v>45</v>
      </c>
      <c r="J3" s="28" t="s">
        <v>522</v>
      </c>
      <c r="K3" s="28" t="s">
        <v>525</v>
      </c>
      <c r="L3" s="28" t="s">
        <v>518</v>
      </c>
      <c r="M3" s="29" t="s">
        <v>522</v>
      </c>
      <c r="N3" s="29" t="s">
        <v>518</v>
      </c>
      <c r="O3" s="29" t="s">
        <v>519</v>
      </c>
      <c r="P3" s="30"/>
      <c r="Q3" s="31" t="n">
        <v>31141</v>
      </c>
      <c r="R3" s="39" t="n">
        <v>4.12</v>
      </c>
      <c r="S3" s="33" t="n">
        <v>15</v>
      </c>
      <c r="T3" s="34"/>
      <c r="U3" s="35" t="n">
        <v>73473</v>
      </c>
      <c r="V3" s="36" t="n">
        <v>45666</v>
      </c>
      <c r="W3" s="36" t="n">
        <v>45666</v>
      </c>
      <c r="X3" s="36" t="n">
        <v>45666</v>
      </c>
      <c r="Y3" s="37" t="n">
        <v>20</v>
      </c>
      <c r="Z3" s="38"/>
      <c r="AA3" s="39"/>
      <c r="AB3" s="39"/>
      <c r="AC3" s="40"/>
      <c r="AD3" s="28" t="n">
        <v>19.12</v>
      </c>
      <c r="AE3" s="28" t="n">
        <v>5</v>
      </c>
      <c r="AF3" s="28" t="n">
        <v>19.12</v>
      </c>
      <c r="AG3" s="28" t="n">
        <v>5</v>
      </c>
      <c r="AH3" s="37" t="n">
        <f aca="false">SUM(AE3,AG3)</f>
        <v>10</v>
      </c>
      <c r="AI3" s="42"/>
      <c r="AJ3" s="43" t="str">
        <f aca="false">IF(AND(S3&gt;=12,Y3&gt;=12,AH3&gt;=6),"да","нет")</f>
        <v>да</v>
      </c>
      <c r="AK3" s="2"/>
      <c r="AL3" s="2" t="n">
        <v>40</v>
      </c>
      <c r="AM3" s="23" t="n">
        <f aca="false">SUM(S3,Y3,AA3,AB3,AH3,AL3,AK3)</f>
        <v>85</v>
      </c>
      <c r="AN3" s="29" t="str">
        <f aca="false">IF(AND(S3&gt;=12,Y3&gt;=12,AH3&gt;=6,AL3&gt;=24,AM3&gt;=60),"Зачет","Незачет")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98</v>
      </c>
      <c r="C4" s="27" t="s">
        <v>93</v>
      </c>
      <c r="D4" s="27" t="n">
        <v>399913</v>
      </c>
      <c r="E4" s="28" t="s">
        <v>519</v>
      </c>
      <c r="F4" s="28" t="s">
        <v>518</v>
      </c>
      <c r="G4" s="28" t="s">
        <v>45</v>
      </c>
      <c r="H4" s="28" t="s">
        <v>525</v>
      </c>
      <c r="I4" s="28" t="s">
        <v>519</v>
      </c>
      <c r="J4" s="28" t="s">
        <v>519</v>
      </c>
      <c r="K4" s="28" t="s">
        <v>45</v>
      </c>
      <c r="L4" s="28" t="s">
        <v>525</v>
      </c>
      <c r="M4" s="29" t="s">
        <v>522</v>
      </c>
      <c r="N4" s="29" t="s">
        <v>518</v>
      </c>
      <c r="O4" s="29" t="s">
        <v>518</v>
      </c>
      <c r="P4" s="30"/>
      <c r="Q4" s="31" t="n">
        <v>31142</v>
      </c>
      <c r="R4" s="2" t="n">
        <v>13.11</v>
      </c>
      <c r="S4" s="39" t="n">
        <v>17</v>
      </c>
      <c r="T4" s="34"/>
      <c r="U4" s="35" t="n">
        <v>993314</v>
      </c>
      <c r="V4" s="28" t="n">
        <v>4.12</v>
      </c>
      <c r="W4" s="28" t="n">
        <v>11.12</v>
      </c>
      <c r="X4" s="28" t="n">
        <v>18.12</v>
      </c>
      <c r="Y4" s="37" t="n">
        <v>20</v>
      </c>
      <c r="Z4" s="38"/>
      <c r="AA4" s="39"/>
      <c r="AB4" s="39"/>
      <c r="AC4" s="40"/>
      <c r="AD4" s="28" t="n">
        <v>19.12</v>
      </c>
      <c r="AE4" s="28" t="n">
        <v>5</v>
      </c>
      <c r="AF4" s="28" t="n">
        <v>19.12</v>
      </c>
      <c r="AG4" s="28" t="n">
        <v>5</v>
      </c>
      <c r="AH4" s="37" t="n">
        <f aca="false">SUM(AE4,AG4)</f>
        <v>10</v>
      </c>
      <c r="AI4" s="42"/>
      <c r="AJ4" s="43" t="str">
        <f aca="false">IF(AND(S4&gt;=12,Y4&gt;=12,AH4&gt;=6),"да","нет")</f>
        <v>да</v>
      </c>
      <c r="AK4" s="2"/>
      <c r="AL4" s="2" t="n">
        <v>40</v>
      </c>
      <c r="AM4" s="23" t="n">
        <f aca="false">SUM(S4,Y4,AA4,AB4,AH4,AL4,AK4)</f>
        <v>87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122</v>
      </c>
      <c r="C5" s="27" t="s">
        <v>93</v>
      </c>
      <c r="D5" s="27" t="n">
        <v>465241</v>
      </c>
      <c r="E5" s="28" t="s">
        <v>518</v>
      </c>
      <c r="F5" s="28" t="s">
        <v>45</v>
      </c>
      <c r="G5" s="28" t="s">
        <v>45</v>
      </c>
      <c r="H5" s="28" t="s">
        <v>518</v>
      </c>
      <c r="I5" s="28" t="s">
        <v>518</v>
      </c>
      <c r="J5" s="28" t="s">
        <v>522</v>
      </c>
      <c r="K5" s="28" t="s">
        <v>518</v>
      </c>
      <c r="L5" s="28" t="s">
        <v>518</v>
      </c>
      <c r="M5" s="29" t="s">
        <v>522</v>
      </c>
      <c r="N5" s="29" t="s">
        <v>518</v>
      </c>
      <c r="O5" s="29" t="s">
        <v>518</v>
      </c>
      <c r="P5" s="30"/>
      <c r="Q5" s="31" t="n">
        <v>31143</v>
      </c>
      <c r="R5" s="2" t="n">
        <v>18.12</v>
      </c>
      <c r="S5" s="39" t="n">
        <v>12</v>
      </c>
      <c r="T5" s="34"/>
      <c r="U5" s="35" t="n">
        <v>6327</v>
      </c>
      <c r="V5" s="36"/>
      <c r="W5" s="36"/>
      <c r="X5" s="36"/>
      <c r="Y5" s="37"/>
      <c r="Z5" s="38"/>
      <c r="AA5" s="39"/>
      <c r="AB5" s="39"/>
      <c r="AC5" s="44"/>
      <c r="AD5" s="28" t="n">
        <v>19.12</v>
      </c>
      <c r="AE5" s="36"/>
      <c r="AF5" s="28" t="n">
        <v>19.12</v>
      </c>
      <c r="AG5" s="36"/>
      <c r="AH5" s="37" t="n">
        <f aca="false">SUM(AE5,AG5)</f>
        <v>0</v>
      </c>
      <c r="AI5" s="42"/>
      <c r="AJ5" s="43" t="str">
        <f aca="false">IF(AND(S5&gt;=12,Y5&gt;=12,AH5&gt;=6),"да","нет")</f>
        <v>нет</v>
      </c>
      <c r="AK5" s="2"/>
      <c r="AL5" s="2"/>
      <c r="AM5" s="23" t="n">
        <f aca="false">SUM(S5,Y5,AA5,AB5,AH5,AL5,AK5)</f>
        <v>12</v>
      </c>
      <c r="AN5" s="29" t="str">
        <f aca="false">IF(AND(S5&gt;=12,Y5&gt;=12,AH5&gt;=6,AL5&gt;=24,AM5&gt;=60),"Зачет","Незачет")</f>
        <v>Незачет</v>
      </c>
    </row>
    <row r="6" customFormat="false" ht="15.75" hidden="false" customHeight="false" outlineLevel="0" collapsed="false">
      <c r="A6" s="25" t="n">
        <v>4</v>
      </c>
      <c r="B6" s="26" t="s">
        <v>136</v>
      </c>
      <c r="C6" s="27" t="s">
        <v>93</v>
      </c>
      <c r="D6" s="27" t="n">
        <v>465355</v>
      </c>
      <c r="E6" s="28" t="s">
        <v>45</v>
      </c>
      <c r="F6" s="28" t="s">
        <v>45</v>
      </c>
      <c r="G6" s="28" t="s">
        <v>45</v>
      </c>
      <c r="H6" s="28" t="s">
        <v>45</v>
      </c>
      <c r="I6" s="28" t="s">
        <v>45</v>
      </c>
      <c r="J6" s="28" t="s">
        <v>45</v>
      </c>
      <c r="K6" s="28" t="s">
        <v>45</v>
      </c>
      <c r="L6" s="28" t="s">
        <v>45</v>
      </c>
      <c r="M6" s="29" t="s">
        <v>518</v>
      </c>
      <c r="N6" s="29" t="s">
        <v>518</v>
      </c>
      <c r="O6" s="29" t="s">
        <v>522</v>
      </c>
      <c r="P6" s="30"/>
      <c r="Q6" s="31" t="n">
        <v>31144</v>
      </c>
      <c r="R6" s="2" t="n">
        <v>11.12</v>
      </c>
      <c r="S6" s="39" t="n">
        <v>12</v>
      </c>
      <c r="T6" s="34"/>
      <c r="U6" s="35" t="n">
        <v>87574748</v>
      </c>
      <c r="V6" s="36" t="n">
        <v>45672</v>
      </c>
      <c r="W6" s="36" t="n">
        <v>45672</v>
      </c>
      <c r="X6" s="77" t="n">
        <v>45672</v>
      </c>
      <c r="Y6" s="37" t="n">
        <v>12</v>
      </c>
      <c r="Z6" s="38"/>
      <c r="AA6" s="39"/>
      <c r="AB6" s="39"/>
      <c r="AC6" s="44"/>
      <c r="AD6" s="28" t="n">
        <v>19.12</v>
      </c>
      <c r="AE6" s="28" t="n">
        <v>3</v>
      </c>
      <c r="AF6" s="28" t="n">
        <v>19.12</v>
      </c>
      <c r="AG6" s="28" t="n">
        <v>3</v>
      </c>
      <c r="AH6" s="37" t="n">
        <f aca="false">SUM(AE6,AG6)</f>
        <v>6</v>
      </c>
      <c r="AI6" s="42"/>
      <c r="AJ6" s="43" t="str">
        <f aca="false">IF(AND(S6&gt;=12,Y6&gt;=12,AH6&gt;=6),"да","нет")</f>
        <v>да</v>
      </c>
      <c r="AK6" s="2"/>
      <c r="AL6" s="2" t="n">
        <v>30</v>
      </c>
      <c r="AM6" s="23" t="n">
        <f aca="false">SUM(S6,Y6,AA6,AB6,AH6,AL6,AK6)</f>
        <v>60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202</v>
      </c>
      <c r="C7" s="27" t="s">
        <v>93</v>
      </c>
      <c r="D7" s="27" t="n">
        <v>465951</v>
      </c>
      <c r="E7" s="28" t="s">
        <v>546</v>
      </c>
      <c r="F7" s="28" t="s">
        <v>45</v>
      </c>
      <c r="G7" s="28" t="s">
        <v>45</v>
      </c>
      <c r="H7" s="28" t="s">
        <v>518</v>
      </c>
      <c r="I7" s="28" t="s">
        <v>518</v>
      </c>
      <c r="J7" s="28" t="s">
        <v>519</v>
      </c>
      <c r="K7" s="28" t="s">
        <v>45</v>
      </c>
      <c r="L7" s="28" t="s">
        <v>525</v>
      </c>
      <c r="M7" s="29" t="s">
        <v>518</v>
      </c>
      <c r="N7" s="29" t="s">
        <v>518</v>
      </c>
      <c r="O7" s="29" t="s">
        <v>519</v>
      </c>
      <c r="P7" s="30"/>
      <c r="Q7" s="31" t="n">
        <v>31145</v>
      </c>
      <c r="R7" s="2" t="n">
        <v>4.12</v>
      </c>
      <c r="S7" s="39" t="n">
        <v>14</v>
      </c>
      <c r="T7" s="34"/>
      <c r="U7" s="35" t="n">
        <v>5372</v>
      </c>
      <c r="V7" s="36" t="n">
        <v>45666</v>
      </c>
      <c r="W7" s="36" t="n">
        <v>45666</v>
      </c>
      <c r="X7" s="36" t="n">
        <v>45666</v>
      </c>
      <c r="Y7" s="37" t="n">
        <v>14</v>
      </c>
      <c r="Z7" s="38"/>
      <c r="AA7" s="39"/>
      <c r="AB7" s="39"/>
      <c r="AC7" s="40"/>
      <c r="AD7" s="28" t="n">
        <v>19.12</v>
      </c>
      <c r="AE7" s="28" t="n">
        <v>3</v>
      </c>
      <c r="AF7" s="28" t="n">
        <v>19.12</v>
      </c>
      <c r="AG7" s="28" t="n">
        <v>3</v>
      </c>
      <c r="AH7" s="37" t="n">
        <v>6</v>
      </c>
      <c r="AI7" s="42"/>
      <c r="AJ7" s="43" t="str">
        <f aca="false">IF(AND(S7&gt;=12,Y7&gt;=12,AH7&gt;=6),"да","нет")</f>
        <v>да</v>
      </c>
      <c r="AK7" s="2" t="n">
        <v>2</v>
      </c>
      <c r="AL7" s="2" t="n">
        <v>24</v>
      </c>
      <c r="AM7" s="23" t="n">
        <f aca="false">SUM(S7,Y7,AA7,AB7,AH7,AL7,AK7)</f>
        <v>60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225</v>
      </c>
      <c r="C8" s="27" t="s">
        <v>93</v>
      </c>
      <c r="D8" s="27" t="n">
        <v>466140</v>
      </c>
      <c r="E8" s="28" t="s">
        <v>519</v>
      </c>
      <c r="F8" s="28" t="s">
        <v>45</v>
      </c>
      <c r="G8" s="28" t="s">
        <v>518</v>
      </c>
      <c r="H8" s="28" t="s">
        <v>518</v>
      </c>
      <c r="I8" s="28" t="s">
        <v>519</v>
      </c>
      <c r="J8" s="28" t="s">
        <v>546</v>
      </c>
      <c r="K8" s="28" t="s">
        <v>522</v>
      </c>
      <c r="L8" s="28" t="s">
        <v>45</v>
      </c>
      <c r="M8" s="29" t="s">
        <v>525</v>
      </c>
      <c r="N8" s="29" t="s">
        <v>518</v>
      </c>
      <c r="O8" s="29" t="s">
        <v>518</v>
      </c>
      <c r="P8" s="30"/>
      <c r="Q8" s="31" t="n">
        <v>311460</v>
      </c>
      <c r="R8" s="2" t="n">
        <v>27.11</v>
      </c>
      <c r="S8" s="39" t="n">
        <v>16</v>
      </c>
      <c r="T8" s="34"/>
      <c r="U8" s="35" t="n">
        <v>554542</v>
      </c>
      <c r="V8" s="28" t="n">
        <v>4.12</v>
      </c>
      <c r="W8" s="28" t="n">
        <v>11.12</v>
      </c>
      <c r="X8" s="28" t="n">
        <v>18.12</v>
      </c>
      <c r="Y8" s="37" t="n">
        <v>18</v>
      </c>
      <c r="Z8" s="38"/>
      <c r="AA8" s="39"/>
      <c r="AB8" s="39"/>
      <c r="AC8" s="40"/>
      <c r="AD8" s="28" t="n">
        <v>19.12</v>
      </c>
      <c r="AE8" s="28" t="n">
        <v>3</v>
      </c>
      <c r="AF8" s="28" t="n">
        <v>19.12</v>
      </c>
      <c r="AG8" s="28" t="n">
        <v>3</v>
      </c>
      <c r="AH8" s="37" t="n">
        <f aca="false">SUM(AE8,AG8)</f>
        <v>6</v>
      </c>
      <c r="AI8" s="42"/>
      <c r="AJ8" s="43" t="str">
        <f aca="false">IF(AND(S8&gt;=12,Y8&gt;=12,AH8&gt;=6),"да","нет")</f>
        <v>да</v>
      </c>
      <c r="AK8" s="2"/>
      <c r="AL8" s="2" t="n">
        <v>40</v>
      </c>
      <c r="AM8" s="23" t="n">
        <f aca="false">SUM(S8,Y8,AA8,AB8,AH8,AL8,AK8)</f>
        <v>80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263</v>
      </c>
      <c r="C9" s="27" t="s">
        <v>93</v>
      </c>
      <c r="D9" s="27" t="n">
        <v>466423</v>
      </c>
      <c r="E9" s="28" t="s">
        <v>518</v>
      </c>
      <c r="F9" s="28" t="s">
        <v>45</v>
      </c>
      <c r="G9" s="28" t="s">
        <v>45</v>
      </c>
      <c r="H9" s="28" t="s">
        <v>45</v>
      </c>
      <c r="I9" s="28" t="s">
        <v>519</v>
      </c>
      <c r="J9" s="28" t="s">
        <v>525</v>
      </c>
      <c r="K9" s="28" t="s">
        <v>45</v>
      </c>
      <c r="L9" s="28" t="s">
        <v>519</v>
      </c>
      <c r="M9" s="29" t="s">
        <v>518</v>
      </c>
      <c r="N9" s="29" t="s">
        <v>519</v>
      </c>
      <c r="O9" s="29" t="s">
        <v>522</v>
      </c>
      <c r="P9" s="30"/>
      <c r="Q9" s="31" t="n">
        <v>31147</v>
      </c>
      <c r="R9" s="2" t="n">
        <v>27.11</v>
      </c>
      <c r="S9" s="39" t="n">
        <v>13</v>
      </c>
      <c r="T9" s="34"/>
      <c r="U9" s="35" t="n">
        <v>123455</v>
      </c>
      <c r="V9" s="28" t="n">
        <v>30.12</v>
      </c>
      <c r="W9" s="28" t="n">
        <v>30.12</v>
      </c>
      <c r="X9" s="36" t="n">
        <v>45666</v>
      </c>
      <c r="Y9" s="37" t="n">
        <v>12</v>
      </c>
      <c r="Z9" s="38"/>
      <c r="AA9" s="39"/>
      <c r="AB9" s="39"/>
      <c r="AC9" s="44"/>
      <c r="AD9" s="28" t="n">
        <v>19.12</v>
      </c>
      <c r="AE9" s="28" t="n">
        <v>3</v>
      </c>
      <c r="AF9" s="28" t="n">
        <v>19.12</v>
      </c>
      <c r="AG9" s="28" t="n">
        <v>3</v>
      </c>
      <c r="AH9" s="37" t="n">
        <f aca="false">SUM(AE9,AG9)</f>
        <v>6</v>
      </c>
      <c r="AI9" s="42"/>
      <c r="AJ9" s="43" t="str">
        <f aca="false">IF(AND(S9&gt;=12,Y9&gt;=12,AH9&gt;=6),"да","нет")</f>
        <v>да</v>
      </c>
      <c r="AK9" s="2"/>
      <c r="AL9" s="2" t="n">
        <v>29</v>
      </c>
      <c r="AM9" s="23" t="n">
        <f aca="false">SUM(S9,Y9,AA9,AB9,AH9,AL9,AK9)</f>
        <v>60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280</v>
      </c>
      <c r="C10" s="27" t="s">
        <v>93</v>
      </c>
      <c r="D10" s="27" t="n">
        <v>466501</v>
      </c>
      <c r="E10" s="28" t="s">
        <v>519</v>
      </c>
      <c r="F10" s="28" t="s">
        <v>45</v>
      </c>
      <c r="G10" s="28" t="s">
        <v>519</v>
      </c>
      <c r="H10" s="28" t="s">
        <v>522</v>
      </c>
      <c r="I10" s="28" t="s">
        <v>519</v>
      </c>
      <c r="J10" s="28" t="s">
        <v>525</v>
      </c>
      <c r="K10" s="28" t="s">
        <v>518</v>
      </c>
      <c r="L10" s="28" t="s">
        <v>522</v>
      </c>
      <c r="M10" s="29" t="s">
        <v>522</v>
      </c>
      <c r="N10" s="29" t="s">
        <v>518</v>
      </c>
      <c r="O10" s="29" t="s">
        <v>519</v>
      </c>
      <c r="P10" s="30"/>
      <c r="Q10" s="31" t="n">
        <v>31148</v>
      </c>
      <c r="R10" s="2" t="n">
        <v>13.11</v>
      </c>
      <c r="S10" s="39" t="n">
        <v>17</v>
      </c>
      <c r="T10" s="34"/>
      <c r="U10" s="35" t="n">
        <v>8438348</v>
      </c>
      <c r="V10" s="28" t="n">
        <v>4.12</v>
      </c>
      <c r="W10" s="28" t="n">
        <v>11.12</v>
      </c>
      <c r="X10" s="28" t="n">
        <v>18.12</v>
      </c>
      <c r="Y10" s="37" t="n">
        <v>16</v>
      </c>
      <c r="Z10" s="38"/>
      <c r="AA10" s="39"/>
      <c r="AB10" s="39"/>
      <c r="AC10" s="40"/>
      <c r="AD10" s="28" t="n">
        <v>19.12</v>
      </c>
      <c r="AE10" s="28" t="n">
        <v>4</v>
      </c>
      <c r="AF10" s="28" t="n">
        <v>19.12</v>
      </c>
      <c r="AG10" s="28" t="n">
        <v>4</v>
      </c>
      <c r="AH10" s="37" t="n">
        <f aca="false">SUM(AE10,AG10)</f>
        <v>8</v>
      </c>
      <c r="AI10" s="42"/>
      <c r="AJ10" s="43" t="str">
        <f aca="false">IF(AND(S10&gt;=12,Y10&gt;=12,AH10&gt;=6),"да","нет")</f>
        <v>да</v>
      </c>
      <c r="AK10" s="2"/>
      <c r="AL10" s="2" t="n">
        <v>40</v>
      </c>
      <c r="AM10" s="23" t="n">
        <f aca="false">SUM(S10,Y10,AA10,AB10,AH10,AL10,AK10)</f>
        <v>81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290</v>
      </c>
      <c r="C11" s="27" t="s">
        <v>93</v>
      </c>
      <c r="D11" s="27" t="n">
        <v>472196</v>
      </c>
      <c r="E11" s="28" t="s">
        <v>45</v>
      </c>
      <c r="F11" s="28" t="s">
        <v>45</v>
      </c>
      <c r="G11" s="28" t="s">
        <v>45</v>
      </c>
      <c r="H11" s="28" t="s">
        <v>45</v>
      </c>
      <c r="I11" s="28" t="s">
        <v>519</v>
      </c>
      <c r="J11" s="28" t="s">
        <v>519</v>
      </c>
      <c r="K11" s="28" t="s">
        <v>522</v>
      </c>
      <c r="L11" s="28" t="s">
        <v>519</v>
      </c>
      <c r="M11" s="29" t="s">
        <v>525</v>
      </c>
      <c r="N11" s="29" t="s">
        <v>518</v>
      </c>
      <c r="O11" s="29" t="s">
        <v>518</v>
      </c>
      <c r="P11" s="30"/>
      <c r="Q11" s="31" t="n">
        <v>41141</v>
      </c>
      <c r="R11" s="2" t="n">
        <v>27.11</v>
      </c>
      <c r="S11" s="39" t="n">
        <v>15</v>
      </c>
      <c r="T11" s="34"/>
      <c r="U11" s="35" t="n">
        <v>345342</v>
      </c>
      <c r="V11" s="28" t="n">
        <v>11.12</v>
      </c>
      <c r="W11" s="28" t="n">
        <v>18.12</v>
      </c>
      <c r="X11" s="28" t="n">
        <v>18.12</v>
      </c>
      <c r="Y11" s="37" t="n">
        <v>14</v>
      </c>
      <c r="Z11" s="38"/>
      <c r="AA11" s="39"/>
      <c r="AB11" s="39"/>
      <c r="AC11" s="40"/>
      <c r="AD11" s="28" t="n">
        <v>19.12</v>
      </c>
      <c r="AE11" s="28" t="n">
        <v>3</v>
      </c>
      <c r="AF11" s="28" t="n">
        <v>19.12</v>
      </c>
      <c r="AG11" s="28" t="n">
        <v>3</v>
      </c>
      <c r="AH11" s="37" t="n">
        <f aca="false">SUM(AE11,AG11)</f>
        <v>6</v>
      </c>
      <c r="AI11" s="42"/>
      <c r="AJ11" s="43" t="str">
        <f aca="false">IF(AND(S11&gt;=12,Y11&gt;=12,AH11&gt;=6),"да","нет")</f>
        <v>да</v>
      </c>
      <c r="AK11" s="2"/>
      <c r="AL11" s="2" t="n">
        <v>40</v>
      </c>
      <c r="AM11" s="23" t="n">
        <f aca="false">SUM(S11,Y11,AA11,AB11,AH11,AL11,AK11)</f>
        <v>75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330</v>
      </c>
      <c r="C12" s="27" t="s">
        <v>93</v>
      </c>
      <c r="D12" s="27" t="n">
        <v>466873</v>
      </c>
      <c r="E12" s="28" t="s">
        <v>522</v>
      </c>
      <c r="F12" s="28" t="s">
        <v>45</v>
      </c>
      <c r="G12" s="28" t="s">
        <v>519</v>
      </c>
      <c r="H12" s="28" t="s">
        <v>522</v>
      </c>
      <c r="I12" s="28" t="s">
        <v>519</v>
      </c>
      <c r="J12" s="28" t="s">
        <v>519</v>
      </c>
      <c r="K12" s="28" t="s">
        <v>518</v>
      </c>
      <c r="L12" s="28" t="s">
        <v>45</v>
      </c>
      <c r="M12" s="29" t="s">
        <v>518</v>
      </c>
      <c r="N12" s="29" t="s">
        <v>519</v>
      </c>
      <c r="O12" s="29" t="s">
        <v>518</v>
      </c>
      <c r="P12" s="30"/>
      <c r="Q12" s="31" t="n">
        <v>311412</v>
      </c>
      <c r="R12" s="2" t="n">
        <v>13.11</v>
      </c>
      <c r="S12" s="39" t="n">
        <v>20</v>
      </c>
      <c r="T12" s="34"/>
      <c r="U12" s="35" t="n">
        <v>451234</v>
      </c>
      <c r="V12" s="28" t="n">
        <v>4.12</v>
      </c>
      <c r="W12" s="28" t="n">
        <v>30.12</v>
      </c>
      <c r="X12" s="28" t="n">
        <v>30.12</v>
      </c>
      <c r="Y12" s="37" t="n">
        <v>20</v>
      </c>
      <c r="Z12" s="38"/>
      <c r="AA12" s="39"/>
      <c r="AB12" s="39"/>
      <c r="AC12" s="40"/>
      <c r="AD12" s="28" t="n">
        <v>19.12</v>
      </c>
      <c r="AE12" s="28" t="n">
        <v>3</v>
      </c>
      <c r="AF12" s="28" t="n">
        <v>19.12</v>
      </c>
      <c r="AG12" s="28" t="n">
        <v>3</v>
      </c>
      <c r="AH12" s="37" t="n">
        <f aca="false">SUM(AE12,AG12)</f>
        <v>6</v>
      </c>
      <c r="AI12" s="42"/>
      <c r="AJ12" s="43" t="str">
        <f aca="false">IF(AND(S12&gt;=12,Y12&gt;=12,AH12&gt;=6),"да","нет")</f>
        <v>да</v>
      </c>
      <c r="AK12" s="2"/>
      <c r="AL12" s="2" t="n">
        <v>40</v>
      </c>
      <c r="AM12" s="23" t="n">
        <f aca="false">SUM(S12,Y12,AA12,AB12,AH12,AL12,AK12)</f>
        <v>86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341</v>
      </c>
      <c r="C13" s="27" t="s">
        <v>93</v>
      </c>
      <c r="D13" s="27" t="n">
        <v>466961</v>
      </c>
      <c r="E13" s="28" t="s">
        <v>518</v>
      </c>
      <c r="F13" s="28" t="s">
        <v>518</v>
      </c>
      <c r="G13" s="28" t="s">
        <v>518</v>
      </c>
      <c r="H13" s="28" t="s">
        <v>518</v>
      </c>
      <c r="I13" s="28" t="s">
        <v>518</v>
      </c>
      <c r="J13" s="28" t="s">
        <v>518</v>
      </c>
      <c r="K13" s="28" t="s">
        <v>518</v>
      </c>
      <c r="L13" s="28" t="s">
        <v>45</v>
      </c>
      <c r="M13" s="29" t="s">
        <v>518</v>
      </c>
      <c r="N13" s="29" t="s">
        <v>518</v>
      </c>
      <c r="O13" s="29" t="s">
        <v>518</v>
      </c>
      <c r="P13" s="30"/>
      <c r="Q13" s="31" t="n">
        <v>41142</v>
      </c>
      <c r="S13" s="32"/>
      <c r="T13" s="34"/>
      <c r="U13" s="35"/>
      <c r="V13" s="36"/>
      <c r="W13" s="36"/>
      <c r="X13" s="36"/>
      <c r="Y13" s="37"/>
      <c r="Z13" s="38"/>
      <c r="AA13" s="39"/>
      <c r="AB13" s="39"/>
      <c r="AC13" s="40"/>
      <c r="AD13" s="28" t="n">
        <v>19.12</v>
      </c>
      <c r="AE13" s="28" t="n">
        <v>0</v>
      </c>
      <c r="AF13" s="77" t="n">
        <v>45672</v>
      </c>
      <c r="AG13" s="28" t="n">
        <v>0</v>
      </c>
      <c r="AH13" s="37" t="n">
        <f aca="false">SUM(AE13,AG13)</f>
        <v>0</v>
      </c>
      <c r="AI13" s="42"/>
      <c r="AJ13" s="43" t="str">
        <f aca="false">IF(AND(S13&gt;=12,Y13&gt;=12,AH13&gt;=6),"да","нет")</f>
        <v>нет</v>
      </c>
      <c r="AK13" s="2"/>
      <c r="AL13" s="2"/>
      <c r="AM13" s="23" t="n">
        <f aca="false">SUM(S13,Y13,AA13,AB13,AH13,AL13,AK13)</f>
        <v>0</v>
      </c>
      <c r="AN13" s="29" t="str">
        <f aca="false">IF(AND(S13&gt;=12,Y13&gt;=12,AH13&gt;=6,AL13&gt;=24,AM13&gt;=60),"Зачет","Незачет")</f>
        <v>Незачет</v>
      </c>
    </row>
    <row r="14" customFormat="false" ht="15.75" hidden="false" customHeight="false" outlineLevel="0" collapsed="false">
      <c r="A14" s="25" t="n">
        <v>12</v>
      </c>
      <c r="B14" s="26" t="s">
        <v>348</v>
      </c>
      <c r="C14" s="27" t="s">
        <v>93</v>
      </c>
      <c r="D14" s="27" t="n">
        <v>467027</v>
      </c>
      <c r="E14" s="28" t="s">
        <v>522</v>
      </c>
      <c r="F14" s="28" t="s">
        <v>45</v>
      </c>
      <c r="G14" s="28" t="s">
        <v>519</v>
      </c>
      <c r="H14" s="28" t="s">
        <v>522</v>
      </c>
      <c r="I14" s="28" t="s">
        <v>519</v>
      </c>
      <c r="J14" s="28" t="s">
        <v>522</v>
      </c>
      <c r="K14" s="28" t="s">
        <v>519</v>
      </c>
      <c r="L14" s="28" t="s">
        <v>546</v>
      </c>
      <c r="M14" s="29" t="s">
        <v>518</v>
      </c>
      <c r="N14" s="29" t="s">
        <v>518</v>
      </c>
      <c r="O14" s="29" t="s">
        <v>518</v>
      </c>
      <c r="P14" s="30"/>
      <c r="Q14" s="31" t="n">
        <v>41143</v>
      </c>
      <c r="R14" s="2" t="n">
        <v>13.11</v>
      </c>
      <c r="S14" s="39" t="n">
        <v>20</v>
      </c>
      <c r="T14" s="34"/>
      <c r="U14" s="35" t="n">
        <v>8473284</v>
      </c>
      <c r="V14" s="28" t="n">
        <v>11.12</v>
      </c>
      <c r="W14" s="28" t="n">
        <v>11.12</v>
      </c>
      <c r="X14" s="28" t="n">
        <v>11.12</v>
      </c>
      <c r="Y14" s="37" t="n">
        <v>20</v>
      </c>
      <c r="Z14" s="38"/>
      <c r="AA14" s="39"/>
      <c r="AB14" s="39"/>
      <c r="AC14" s="40"/>
      <c r="AD14" s="28" t="n">
        <v>19.12</v>
      </c>
      <c r="AE14" s="28" t="n">
        <v>4</v>
      </c>
      <c r="AF14" s="28" t="n">
        <v>19.12</v>
      </c>
      <c r="AG14" s="28" t="n">
        <v>5</v>
      </c>
      <c r="AH14" s="37" t="n">
        <f aca="false">SUM(AE14,AG14)</f>
        <v>9</v>
      </c>
      <c r="AI14" s="42"/>
      <c r="AJ14" s="43" t="str">
        <f aca="false">IF(AND(S14&gt;=12,Y14&gt;=12,AH14&gt;=6),"да","нет")</f>
        <v>да</v>
      </c>
      <c r="AK14" s="2"/>
      <c r="AL14" s="2" t="n">
        <v>40</v>
      </c>
      <c r="AM14" s="23" t="n">
        <f aca="false">SUM(S14,Y14,AA14,AB14,AH14,AL14,AK14)</f>
        <v>89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399</v>
      </c>
      <c r="C15" s="27" t="s">
        <v>93</v>
      </c>
      <c r="D15" s="27" t="n">
        <v>467388</v>
      </c>
      <c r="E15" s="28" t="s">
        <v>518</v>
      </c>
      <c r="F15" s="28" t="s">
        <v>45</v>
      </c>
      <c r="G15" s="28" t="s">
        <v>45</v>
      </c>
      <c r="H15" s="28" t="s">
        <v>525</v>
      </c>
      <c r="I15" s="28" t="s">
        <v>522</v>
      </c>
      <c r="J15" s="28" t="s">
        <v>522</v>
      </c>
      <c r="K15" s="28" t="s">
        <v>519</v>
      </c>
      <c r="L15" s="28" t="s">
        <v>518</v>
      </c>
      <c r="M15" s="29" t="s">
        <v>518</v>
      </c>
      <c r="N15" s="29" t="s">
        <v>518</v>
      </c>
      <c r="O15" s="29" t="s">
        <v>519</v>
      </c>
      <c r="P15" s="30"/>
      <c r="Q15" s="31" t="n">
        <v>41144</v>
      </c>
      <c r="R15" s="2" t="n">
        <v>27.11</v>
      </c>
      <c r="S15" s="39" t="n">
        <v>14</v>
      </c>
      <c r="T15" s="34"/>
      <c r="U15" s="35" t="n">
        <v>123432</v>
      </c>
      <c r="V15" s="36" t="n">
        <v>45666</v>
      </c>
      <c r="W15" s="36" t="n">
        <v>45675</v>
      </c>
      <c r="X15" s="36" t="n">
        <v>45675</v>
      </c>
      <c r="Y15" s="37" t="n">
        <v>12</v>
      </c>
      <c r="Z15" s="38"/>
      <c r="AA15" s="39"/>
      <c r="AB15" s="39"/>
      <c r="AC15" s="40"/>
      <c r="AD15" s="28" t="n">
        <v>19.12</v>
      </c>
      <c r="AE15" s="28" t="n">
        <v>3</v>
      </c>
      <c r="AF15" s="77" t="n">
        <v>45672</v>
      </c>
      <c r="AG15" s="28" t="n">
        <v>3</v>
      </c>
      <c r="AH15" s="37" t="n">
        <f aca="false">SUM(AE15,AG15)</f>
        <v>6</v>
      </c>
      <c r="AI15" s="42"/>
      <c r="AJ15" s="43" t="str">
        <f aca="false">IF(AND(S15&gt;=12,Y15&gt;=12,AH15&gt;=6),"да","нет")</f>
        <v>да</v>
      </c>
      <c r="AK15" s="2"/>
      <c r="AL15" s="37" t="n">
        <v>28</v>
      </c>
      <c r="AM15" s="23" t="n">
        <f aca="false">SUM(S15,Y15,AA15,AB15,AH15,AL15,AK15)</f>
        <v>60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408</v>
      </c>
      <c r="C16" s="27" t="s">
        <v>93</v>
      </c>
      <c r="D16" s="27" t="n">
        <v>467463</v>
      </c>
      <c r="E16" s="28" t="s">
        <v>45</v>
      </c>
      <c r="F16" s="28" t="s">
        <v>45</v>
      </c>
      <c r="G16" s="28" t="s">
        <v>45</v>
      </c>
      <c r="H16" s="28" t="s">
        <v>45</v>
      </c>
      <c r="I16" s="28" t="s">
        <v>519</v>
      </c>
      <c r="J16" s="28" t="s">
        <v>522</v>
      </c>
      <c r="K16" s="28" t="s">
        <v>45</v>
      </c>
      <c r="L16" s="28" t="s">
        <v>519</v>
      </c>
      <c r="M16" s="29" t="s">
        <v>518</v>
      </c>
      <c r="N16" s="29" t="s">
        <v>519</v>
      </c>
      <c r="O16" s="29" t="s">
        <v>519</v>
      </c>
      <c r="P16" s="30"/>
      <c r="Q16" s="31" t="n">
        <v>41145</v>
      </c>
      <c r="R16" s="2" t="n">
        <v>13.11</v>
      </c>
      <c r="S16" s="39" t="n">
        <v>14</v>
      </c>
      <c r="T16" s="34"/>
      <c r="U16" s="35" t="n">
        <v>575748</v>
      </c>
      <c r="V16" s="36" t="n">
        <v>46021</v>
      </c>
      <c r="W16" s="36" t="n">
        <v>45666</v>
      </c>
      <c r="X16" s="36" t="n">
        <v>45666</v>
      </c>
      <c r="Y16" s="37" t="n">
        <v>12</v>
      </c>
      <c r="Z16" s="38"/>
      <c r="AA16" s="39"/>
      <c r="AB16" s="39"/>
      <c r="AC16" s="40"/>
      <c r="AD16" s="28" t="n">
        <v>19.12</v>
      </c>
      <c r="AE16" s="28" t="n">
        <v>3</v>
      </c>
      <c r="AF16" s="28" t="n">
        <v>19.12</v>
      </c>
      <c r="AG16" s="28" t="n">
        <v>3</v>
      </c>
      <c r="AH16" s="37" t="n">
        <f aca="false">SUM(AE16,AG16)</f>
        <v>6</v>
      </c>
      <c r="AI16" s="42"/>
      <c r="AJ16" s="43" t="str">
        <f aca="false">IF(AND(S16&gt;=12,Y16&gt;=12,AH16&gt;=6),"да","нет")</f>
        <v>да</v>
      </c>
      <c r="AK16" s="2"/>
      <c r="AL16" s="2" t="n">
        <v>28</v>
      </c>
      <c r="AM16" s="23" t="n">
        <f aca="false">SUM(S16,Y16,AA16,AB16,AH16,AL16,AK16)</f>
        <v>60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454</v>
      </c>
      <c r="C17" s="27" t="s">
        <v>93</v>
      </c>
      <c r="D17" s="27" t="n">
        <v>467738</v>
      </c>
      <c r="E17" s="28" t="s">
        <v>518</v>
      </c>
      <c r="F17" s="28" t="s">
        <v>45</v>
      </c>
      <c r="G17" s="28" t="s">
        <v>45</v>
      </c>
      <c r="H17" s="28" t="s">
        <v>45</v>
      </c>
      <c r="I17" s="28" t="s">
        <v>519</v>
      </c>
      <c r="J17" s="28" t="s">
        <v>522</v>
      </c>
      <c r="K17" s="28" t="s">
        <v>518</v>
      </c>
      <c r="L17" s="28" t="s">
        <v>525</v>
      </c>
      <c r="M17" s="29" t="s">
        <v>522</v>
      </c>
      <c r="N17" s="29" t="s">
        <v>518</v>
      </c>
      <c r="O17" s="29" t="s">
        <v>518</v>
      </c>
      <c r="P17" s="30"/>
      <c r="Q17" s="31" t="n">
        <v>41146</v>
      </c>
      <c r="R17" s="2" t="n">
        <v>13.11</v>
      </c>
      <c r="S17" s="39" t="n">
        <v>15</v>
      </c>
      <c r="T17" s="34"/>
      <c r="U17" s="35" t="n">
        <v>848113</v>
      </c>
      <c r="V17" s="28" t="n">
        <v>18.12</v>
      </c>
      <c r="W17" s="36" t="n">
        <v>45672</v>
      </c>
      <c r="X17" s="36" t="n">
        <v>45672</v>
      </c>
      <c r="Y17" s="37" t="n">
        <v>12</v>
      </c>
      <c r="Z17" s="38"/>
      <c r="AA17" s="39"/>
      <c r="AB17" s="39"/>
      <c r="AC17" s="44"/>
      <c r="AD17" s="28" t="n">
        <v>19.12</v>
      </c>
      <c r="AE17" s="28" t="n">
        <v>5</v>
      </c>
      <c r="AF17" s="28" t="n">
        <v>19.12</v>
      </c>
      <c r="AG17" s="28" t="n">
        <v>5</v>
      </c>
      <c r="AH17" s="37" t="n">
        <f aca="false">SUM(AE17,AG17)</f>
        <v>10</v>
      </c>
      <c r="AI17" s="42"/>
      <c r="AJ17" s="43" t="str">
        <f aca="false">IF(AND(S17&gt;=12,Y17&gt;=12,AH17&gt;=6),"да","нет")</f>
        <v>да</v>
      </c>
      <c r="AK17" s="2"/>
      <c r="AL17" s="2" t="n">
        <v>26</v>
      </c>
      <c r="AM17" s="23" t="n">
        <f aca="false">SUM(S17,Y17,AA17,AB17,AH17,AL17,AK17)</f>
        <v>63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488</v>
      </c>
      <c r="C18" s="27" t="s">
        <v>93</v>
      </c>
      <c r="D18" s="27" t="n">
        <v>468030</v>
      </c>
      <c r="E18" s="28" t="s">
        <v>519</v>
      </c>
      <c r="F18" s="28" t="s">
        <v>45</v>
      </c>
      <c r="G18" s="28" t="s">
        <v>45</v>
      </c>
      <c r="H18" s="28" t="s">
        <v>519</v>
      </c>
      <c r="I18" s="28" t="s">
        <v>519</v>
      </c>
      <c r="J18" s="28" t="s">
        <v>533</v>
      </c>
      <c r="K18" s="28" t="s">
        <v>519</v>
      </c>
      <c r="L18" s="28" t="s">
        <v>546</v>
      </c>
      <c r="M18" s="29" t="s">
        <v>522</v>
      </c>
      <c r="N18" s="29" t="s">
        <v>518</v>
      </c>
      <c r="O18" s="29" t="s">
        <v>518</v>
      </c>
      <c r="P18" s="30"/>
      <c r="Q18" s="31" t="n">
        <v>41147</v>
      </c>
      <c r="R18" s="2" t="n">
        <v>27.11</v>
      </c>
      <c r="S18" s="39" t="n">
        <v>18</v>
      </c>
      <c r="T18" s="34"/>
      <c r="U18" s="35" t="n">
        <v>7423747</v>
      </c>
      <c r="V18" s="28" t="n">
        <v>4.12</v>
      </c>
      <c r="W18" s="28" t="n">
        <v>4.12</v>
      </c>
      <c r="X18" s="28" t="n">
        <v>18.12</v>
      </c>
      <c r="Y18" s="37" t="n">
        <v>20</v>
      </c>
      <c r="Z18" s="38"/>
      <c r="AA18" s="39"/>
      <c r="AB18" s="39"/>
      <c r="AC18" s="40"/>
      <c r="AD18" s="28" t="n">
        <v>19.12</v>
      </c>
      <c r="AE18" s="28" t="n">
        <v>5</v>
      </c>
      <c r="AF18" s="28" t="n">
        <v>19.12</v>
      </c>
      <c r="AG18" s="28" t="n">
        <v>5</v>
      </c>
      <c r="AH18" s="37" t="n">
        <f aca="false">SUM(AE18,AG18)</f>
        <v>10</v>
      </c>
      <c r="AI18" s="42"/>
      <c r="AJ18" s="43" t="str">
        <f aca="false">IF(AND(S18&gt;=12,Y18&gt;=12,AH18&gt;=6),"да","нет")</f>
        <v>да</v>
      </c>
      <c r="AK18" s="2"/>
      <c r="AL18" s="2" t="n">
        <v>40</v>
      </c>
      <c r="AM18" s="23" t="n">
        <f aca="false">SUM(S18,Y18,AA18,AB18,AH18,AL18,AK18)</f>
        <v>88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/>
      <c r="C19" s="27"/>
      <c r="D19" s="27"/>
      <c r="E19" s="28"/>
      <c r="F19" s="28"/>
      <c r="G19" s="28"/>
      <c r="H19" s="28"/>
      <c r="I19" s="28"/>
      <c r="J19" s="28"/>
      <c r="K19" s="28"/>
      <c r="L19" s="28"/>
      <c r="M19" s="29"/>
      <c r="N19" s="29"/>
      <c r="O19" s="29"/>
      <c r="P19" s="30"/>
      <c r="Q19" s="31"/>
      <c r="R19" s="32"/>
      <c r="S19" s="33"/>
      <c r="T19" s="34"/>
      <c r="U19" s="35"/>
      <c r="V19" s="36"/>
      <c r="W19" s="36"/>
      <c r="X19" s="36"/>
      <c r="Y19" s="37"/>
      <c r="Z19" s="38"/>
      <c r="AA19" s="39"/>
      <c r="AB19" s="39"/>
      <c r="AC19" s="40"/>
      <c r="AD19" s="41"/>
      <c r="AE19" s="41"/>
      <c r="AF19" s="41"/>
      <c r="AG19" s="41"/>
      <c r="AH19" s="37" t="n">
        <f aca="false">SUM(AE19,AG19)</f>
        <v>0</v>
      </c>
      <c r="AI19" s="42"/>
      <c r="AJ19" s="43" t="str">
        <f aca="false">IF(AND(S19&gt;=12,Y19&gt;=12,AH19&gt;=6),"да","нет")</f>
        <v>нет</v>
      </c>
      <c r="AK19" s="2"/>
      <c r="AL19" s="2"/>
      <c r="AM19" s="23" t="n">
        <f aca="false">SUM(S19,Y19,AA19,AB19,AH19,AL19,AK19)</f>
        <v>0</v>
      </c>
      <c r="AN19" s="29" t="str">
        <f aca="false">IF(AND(S19&gt;=12,Y19&gt;=12,AH19&gt;=6,AL19&gt;=24,AM19&gt;=60),"Зачет","Незачет")</f>
        <v>Незачет</v>
      </c>
    </row>
    <row r="20" customFormat="false" ht="15.75" hidden="false" customHeight="false" outlineLevel="0" collapsed="false">
      <c r="A20" s="25" t="n">
        <v>18</v>
      </c>
      <c r="B20" s="26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9"/>
      <c r="N20" s="29"/>
      <c r="O20" s="29"/>
      <c r="P20" s="30"/>
      <c r="Q20" s="46"/>
      <c r="R20" s="36"/>
      <c r="S20" s="37"/>
      <c r="T20" s="47"/>
      <c r="U20" s="2"/>
      <c r="V20" s="36"/>
      <c r="W20" s="36"/>
      <c r="X20" s="36"/>
      <c r="Y20" s="37"/>
      <c r="Z20" s="38"/>
      <c r="AA20" s="39"/>
      <c r="AB20" s="39"/>
      <c r="AC20" s="48"/>
      <c r="AD20" s="28"/>
      <c r="AE20" s="28"/>
      <c r="AF20" s="28"/>
      <c r="AG20" s="28"/>
      <c r="AH20" s="37" t="n">
        <f aca="false">SUM(AE20,AG20)</f>
        <v>0</v>
      </c>
      <c r="AI20" s="42"/>
      <c r="AJ20" s="43" t="str">
        <f aca="false">IF(AND(S20&gt;=12,Y20&gt;=12,AH20&gt;=6),"да","нет")</f>
        <v>нет</v>
      </c>
      <c r="AK20" s="2"/>
      <c r="AL20" s="2"/>
      <c r="AM20" s="23" t="n">
        <f aca="false">SUM(S20,Y20,AA20,AB20,AH20,AL20,AK20)</f>
        <v>0</v>
      </c>
      <c r="AN20" s="29" t="str">
        <f aca="false">IF(AND(S20&gt;=12,Y20&gt;=12,AH20&gt;=6,AL20&gt;=24,AM20&gt;=60),"Зачет","Незачет")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28"/>
      <c r="AH21" s="37" t="n">
        <f aca="false">SUM(AE21,AG21)</f>
        <v>0</v>
      </c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7</v>
      </c>
      <c r="F25" s="37" t="n">
        <f aca="false">COUNTIF(F$3:F$23, "~**")</f>
        <v>0</v>
      </c>
      <c r="G25" s="37" t="n">
        <f aca="false">COUNTIF(G$3:G$23, "~**")</f>
        <v>3</v>
      </c>
      <c r="H25" s="37" t="n">
        <f aca="false">COUNTIF(H$3:H$23, "~**")</f>
        <v>6</v>
      </c>
      <c r="I25" s="37" t="n">
        <f aca="false">COUNTIF(I$3:I$23, "~**")</f>
        <v>11</v>
      </c>
      <c r="J25" s="37" t="n">
        <f aca="false">COUNTIF(J$3:J$23, "~**")</f>
        <v>14</v>
      </c>
      <c r="K25" s="37" t="n">
        <f aca="false">COUNTIF(K$3:K$23, "~**")</f>
        <v>6</v>
      </c>
      <c r="L25" s="37" t="n">
        <f aca="false">COUNTIF(L$3:L$23, "~**")</f>
        <v>9</v>
      </c>
      <c r="M25" s="54" t="n">
        <f aca="false">COUNTIF(M$3:M$23, "~**")</f>
        <v>8</v>
      </c>
      <c r="N25" s="54" t="n">
        <f aca="false">COUNTIF(N$3:N$23, "~**")</f>
        <v>3</v>
      </c>
      <c r="O25" s="54" t="n">
        <f aca="false">COUNTIF(O$3:O$23, "~**")</f>
        <v>7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11</v>
      </c>
      <c r="F26" s="37" t="n">
        <f aca="false">COUNTIF(F$3:F$23, "~**")+COUNTIF(F$3:F$23, "Y")</f>
        <v>14</v>
      </c>
      <c r="G26" s="37" t="n">
        <f aca="false">COUNTIF(G$3:G$23, "~**")+COUNTIF(G$3:G$23, "Y")</f>
        <v>14</v>
      </c>
      <c r="H26" s="37" t="n">
        <f aca="false">COUNTIF(H$3:H$23, "~**")+COUNTIF(H$3:H$23, "Y")</f>
        <v>12</v>
      </c>
      <c r="I26" s="37" t="n">
        <f aca="false">COUNTIF(I$3:I$23, "~**")+COUNTIF(I$3:I$23, "Y")</f>
        <v>13</v>
      </c>
      <c r="J26" s="37" t="n">
        <f aca="false">COUNTIF(J$3:J$23, "~**")+COUNTIF(J$3:J$23, "Y")</f>
        <v>15</v>
      </c>
      <c r="K26" s="37" t="n">
        <f aca="false">COUNTIF(K$3:K$23, "~**")+COUNTIF(K$3:K$23, "Y")</f>
        <v>11</v>
      </c>
      <c r="L26" s="37" t="n">
        <f aca="false">COUNTIF(L$3:L$23, "~**")+COUNTIF(L$3:L$23, "Y")</f>
        <v>13</v>
      </c>
      <c r="M26" s="54" t="n">
        <f aca="false">COUNTIF(M$3:M$23, "~**")+COUNTIF(M$3:M$23, "Y")</f>
        <v>8</v>
      </c>
      <c r="N26" s="54" t="n">
        <f aca="false">COUNTIF(N$3:N$23, "~**")+COUNTIF(N$3:N$23, "Y")</f>
        <v>3</v>
      </c>
      <c r="O26" s="54" t="n">
        <f aca="false">COUNTIF(O$3:O$23, "~**")+COUNTIF(O$3:O$23, "Y")</f>
        <v>7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0.9375</v>
      </c>
      <c r="T28" s="62"/>
      <c r="U28" s="61"/>
      <c r="V28" s="61"/>
      <c r="W28" s="61"/>
      <c r="X28" s="61"/>
      <c r="Y28" s="61" t="n">
        <f aca="false">IFERROR(COUNTA(Y$3:Y23)/COUNTA($B$3:$B$23), 0)</f>
        <v>0.875</v>
      </c>
      <c r="Z28" s="63"/>
      <c r="AA28" s="2"/>
      <c r="AB28" s="2"/>
      <c r="AC28" s="57"/>
      <c r="AE28" s="61" t="n">
        <f aca="false">IFERROR(COUNTIF(AE$3:AE23, "&gt;0")/COUNTA($B$3:$B$22), 0)</f>
        <v>0.875</v>
      </c>
      <c r="AG28" s="61" t="n">
        <f aca="false">IFERROR(COUNTIF(AG$3:AG23, "&gt;0")/COUNTA($B$3:$B$22), 0)</f>
        <v>0.875</v>
      </c>
      <c r="AH28" s="61" t="n">
        <f aca="false">IFERROR(COUNTIF(AH$3:AH23, "&gt;0")/COUNTA($B$3:$B$22), 0)</f>
        <v>0.875</v>
      </c>
      <c r="AI28" s="64"/>
      <c r="AJ28" s="65"/>
      <c r="AK28" s="2"/>
      <c r="AL28" s="61" t="n">
        <f aca="false">IFERROR(COUNTIF(AL$3:AL23, "&gt;24")/COUNTA($B$3:$B$22), 0)</f>
        <v>0.8125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 Y3:AB23 AH3:AH23 AK3:AL23 S19:S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 S4:S18 R19:R23">
    <cfRule type="expression" priority="7" aboveAverage="0" equalAverage="0" bottom="0" percent="0" rank="0" text="" dxfId="5">
      <formula>R3&gt;45230</formula>
    </cfRule>
  </conditionalFormatting>
  <conditionalFormatting sqref="V3:X23 AC3:AG23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outlinePr summaryBelow="0"/>
    <pageSetUpPr fitToPage="false"/>
  </sheetPr>
  <dimension ref="A1:A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6" min="5" style="0" width="3.38"/>
    <col collapsed="false" customWidth="true" hidden="false" outlineLevel="0" max="17" min="17" style="0" width="0.38"/>
    <col collapsed="false" customWidth="true" hidden="false" outlineLevel="0" max="18" min="18" style="0" width="5.75"/>
    <col collapsed="false" customWidth="true" hidden="false" outlineLevel="0" max="19" min="19" style="0" width="4.75"/>
    <col collapsed="false" customWidth="true" hidden="false" outlineLevel="0" max="20" min="20" style="0" width="4.38"/>
    <col collapsed="false" customWidth="true" hidden="false" outlineLevel="0" max="21" min="21" style="0" width="0.38"/>
    <col collapsed="false" customWidth="true" hidden="false" outlineLevel="0" max="22" min="22" style="0" width="5.75"/>
    <col collapsed="false" customWidth="true" hidden="false" outlineLevel="0" max="23" min="23" style="0" width="4.75"/>
    <col collapsed="false" customWidth="true" hidden="false" outlineLevel="0" max="24" min="24" style="0" width="5.13"/>
    <col collapsed="false" customWidth="true" hidden="false" outlineLevel="0" max="25" min="25" style="0" width="4.75"/>
    <col collapsed="false" customWidth="true" hidden="false" outlineLevel="0" max="26" min="26" style="0" width="4.38"/>
    <col collapsed="false" customWidth="true" hidden="false" outlineLevel="0" max="27" min="27" style="0" width="0.38"/>
    <col collapsed="false" customWidth="true" hidden="false" outlineLevel="0" max="28" min="28" style="0" width="4.38"/>
    <col collapsed="false" customWidth="true" hidden="false" outlineLevel="0" max="29" min="29" style="0" width="4.5"/>
    <col collapsed="false" customWidth="true" hidden="false" outlineLevel="0" max="30" min="30" style="0" width="0.38"/>
    <col collapsed="false" customWidth="true" hidden="false" outlineLevel="0" max="34" min="31" style="0" width="5.63"/>
    <col collapsed="false" customWidth="true" hidden="false" outlineLevel="0" max="35" min="35" style="0" width="4.38"/>
    <col collapsed="false" customWidth="true" hidden="false" outlineLevel="0" max="36" min="36" style="0" width="0.38"/>
    <col collapsed="false" customWidth="true" hidden="false" outlineLevel="0" max="37" min="37" style="0" width="7.63"/>
    <col collapsed="false" customWidth="true" hidden="false" outlineLevel="0" max="38" min="38" style="0" width="5.63"/>
    <col collapsed="false" customWidth="true" hidden="false" outlineLevel="0" max="39" min="39" style="0" width="7.12"/>
    <col collapsed="false" customWidth="true" hidden="false" outlineLevel="0" max="40" min="40" style="0" width="6.88"/>
    <col collapsed="false" customWidth="true" hidden="false" outlineLevel="0" max="41" min="41" style="0" width="7.5"/>
  </cols>
  <sheetData>
    <row r="1" customFormat="false" ht="15.75" hidden="false" customHeight="true" outlineLevel="0" collapsed="false">
      <c r="A1" s="1" t="s">
        <v>37</v>
      </c>
      <c r="B1" s="2" t="s">
        <v>550</v>
      </c>
      <c r="C1" s="3"/>
      <c r="D1" s="4" t="n">
        <f aca="false">COLUMNS(A2:AO2)-40</f>
        <v>1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5" t="s">
        <v>3</v>
      </c>
      <c r="S1" s="5"/>
      <c r="T1" s="5"/>
      <c r="U1" s="6"/>
      <c r="V1" s="5" t="s">
        <v>4</v>
      </c>
      <c r="W1" s="5"/>
      <c r="X1" s="5"/>
      <c r="Y1" s="5"/>
      <c r="Z1" s="5"/>
      <c r="AA1" s="7"/>
      <c r="AB1" s="8" t="s">
        <v>5</v>
      </c>
      <c r="AC1" s="8" t="s">
        <v>6</v>
      </c>
      <c r="AD1" s="7"/>
      <c r="AE1" s="8" t="s">
        <v>7</v>
      </c>
      <c r="AF1" s="8"/>
      <c r="AG1" s="8" t="s">
        <v>8</v>
      </c>
      <c r="AH1" s="8"/>
      <c r="AI1" s="1" t="s">
        <v>9</v>
      </c>
      <c r="AJ1" s="10"/>
      <c r="AK1" s="11" t="s">
        <v>10</v>
      </c>
      <c r="AL1" s="8" t="s">
        <v>11</v>
      </c>
      <c r="AM1" s="8" t="s">
        <v>12</v>
      </c>
      <c r="AN1" s="12" t="s">
        <v>13</v>
      </c>
      <c r="AO1" s="12"/>
    </row>
    <row r="2" customFormat="false" ht="32.8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22" t="n">
        <v>45192</v>
      </c>
      <c r="F2" s="122" t="n">
        <f aca="false">E2+14</f>
        <v>45206</v>
      </c>
      <c r="G2" s="122" t="n">
        <f aca="false">F2+14</f>
        <v>45220</v>
      </c>
      <c r="H2" s="123" t="n">
        <v>2.11</v>
      </c>
      <c r="I2" s="122" t="n">
        <v>45248</v>
      </c>
      <c r="J2" s="122" t="n">
        <v>45262</v>
      </c>
      <c r="K2" s="122" t="n">
        <v>45276</v>
      </c>
      <c r="L2" s="124" t="n">
        <v>45649</v>
      </c>
      <c r="M2" s="124" t="n">
        <v>45653</v>
      </c>
      <c r="N2" s="16" t="n">
        <v>45698</v>
      </c>
      <c r="O2" s="17" t="n">
        <v>45699</v>
      </c>
      <c r="P2" s="17"/>
      <c r="Q2" s="18"/>
      <c r="R2" s="19" t="s">
        <v>17</v>
      </c>
      <c r="S2" s="20" t="s">
        <v>18</v>
      </c>
      <c r="T2" s="19" t="s">
        <v>19</v>
      </c>
      <c r="U2" s="6"/>
      <c r="V2" s="19" t="s">
        <v>17</v>
      </c>
      <c r="W2" s="20" t="s">
        <v>20</v>
      </c>
      <c r="X2" s="19" t="s">
        <v>21</v>
      </c>
      <c r="Y2" s="19" t="s">
        <v>18</v>
      </c>
      <c r="Z2" s="19" t="s">
        <v>19</v>
      </c>
      <c r="AA2" s="7"/>
      <c r="AB2" s="8"/>
      <c r="AC2" s="8"/>
      <c r="AD2" s="21"/>
      <c r="AE2" s="22" t="s">
        <v>22</v>
      </c>
      <c r="AF2" s="22" t="s">
        <v>23</v>
      </c>
      <c r="AG2" s="22" t="s">
        <v>22</v>
      </c>
      <c r="AH2" s="22" t="s">
        <v>23</v>
      </c>
      <c r="AI2" s="1"/>
      <c r="AJ2" s="10"/>
      <c r="AK2" s="11"/>
      <c r="AL2" s="11"/>
      <c r="AM2" s="11"/>
      <c r="AN2" s="23" t="s">
        <v>24</v>
      </c>
      <c r="AO2" s="24" t="s">
        <v>25</v>
      </c>
    </row>
    <row r="3" customFormat="false" ht="15.75" hidden="false" customHeight="false" outlineLevel="0" collapsed="false">
      <c r="A3" s="25" t="n">
        <v>1</v>
      </c>
      <c r="B3" s="26" t="s">
        <v>124</v>
      </c>
      <c r="C3" s="27" t="s">
        <v>125</v>
      </c>
      <c r="D3" s="27" t="n">
        <v>465259</v>
      </c>
      <c r="E3" s="28" t="s">
        <v>45</v>
      </c>
      <c r="F3" s="28" t="s">
        <v>45</v>
      </c>
      <c r="G3" s="28" t="s">
        <v>523</v>
      </c>
      <c r="H3" s="28" t="s">
        <v>523</v>
      </c>
      <c r="I3" s="28" t="s">
        <v>523</v>
      </c>
      <c r="J3" s="28" t="s">
        <v>523</v>
      </c>
      <c r="K3" s="28" t="s">
        <v>523</v>
      </c>
      <c r="L3" s="28" t="s">
        <v>523</v>
      </c>
      <c r="M3" s="28" t="s">
        <v>551</v>
      </c>
      <c r="N3" s="29" t="s">
        <v>551</v>
      </c>
      <c r="O3" s="29" t="s">
        <v>551</v>
      </c>
      <c r="P3" s="29"/>
      <c r="Q3" s="30"/>
      <c r="R3" s="31" t="n">
        <v>1501</v>
      </c>
      <c r="S3" s="4" t="s">
        <v>552</v>
      </c>
      <c r="T3" s="125" t="n">
        <v>19</v>
      </c>
      <c r="U3" s="34"/>
      <c r="V3" s="35" t="n">
        <v>15011</v>
      </c>
      <c r="W3" s="126" t="n">
        <v>45642</v>
      </c>
      <c r="X3" s="127" t="n">
        <v>45649</v>
      </c>
      <c r="Y3" s="127" t="n">
        <v>45649</v>
      </c>
      <c r="Z3" s="128" t="n">
        <v>19</v>
      </c>
      <c r="AA3" s="38"/>
      <c r="AB3" s="39"/>
      <c r="AC3" s="39"/>
      <c r="AD3" s="40"/>
      <c r="AE3" s="129" t="n">
        <v>45647</v>
      </c>
      <c r="AF3" s="28" t="n">
        <v>10</v>
      </c>
      <c r="AG3" s="41"/>
      <c r="AH3" s="41"/>
      <c r="AI3" s="37" t="n">
        <f aca="false">SUM(AF3,AH3)</f>
        <v>10</v>
      </c>
      <c r="AJ3" s="42"/>
      <c r="AK3" s="43" t="str">
        <f aca="false">IF(AND(T3&gt;=12,Z3&gt;=12,AI3&gt;=6),"да","нет")</f>
        <v>да</v>
      </c>
      <c r="AL3" s="2"/>
      <c r="AM3" s="2" t="n">
        <v>40</v>
      </c>
      <c r="AN3" s="23" t="n">
        <f aca="false">SUM(T3,Z3,AB3,AC3,AI3,AM3,AL3)</f>
        <v>88</v>
      </c>
      <c r="AO3" s="29" t="str">
        <f aca="false">IF(AND(T3&gt;=12,Z3&gt;=12,AI3&gt;=6,AM3&gt;=24,AN3&gt;=60),"Зачет","Незачет")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149</v>
      </c>
      <c r="C4" s="27" t="s">
        <v>125</v>
      </c>
      <c r="D4" s="27" t="n">
        <v>408417</v>
      </c>
      <c r="E4" s="28" t="s">
        <v>45</v>
      </c>
      <c r="F4" s="28" t="s">
        <v>45</v>
      </c>
      <c r="G4" s="28" t="s">
        <v>523</v>
      </c>
      <c r="H4" s="28" t="s">
        <v>523</v>
      </c>
      <c r="I4" s="28" t="s">
        <v>45</v>
      </c>
      <c r="J4" s="28" t="s">
        <v>523</v>
      </c>
      <c r="K4" s="28" t="s">
        <v>523</v>
      </c>
      <c r="L4" s="28" t="s">
        <v>551</v>
      </c>
      <c r="M4" s="28" t="s">
        <v>551</v>
      </c>
      <c r="N4" s="29" t="s">
        <v>551</v>
      </c>
      <c r="O4" s="29" t="s">
        <v>551</v>
      </c>
      <c r="P4" s="29"/>
      <c r="Q4" s="30"/>
      <c r="R4" s="31" t="n">
        <v>1502</v>
      </c>
      <c r="S4" s="4" t="s">
        <v>553</v>
      </c>
      <c r="T4" s="125" t="n">
        <v>19.5</v>
      </c>
      <c r="U4" s="34"/>
      <c r="V4" s="35" t="n">
        <v>15022</v>
      </c>
      <c r="W4" s="4" t="s">
        <v>554</v>
      </c>
      <c r="X4" s="127" t="n">
        <v>45642</v>
      </c>
      <c r="Y4" s="127" t="n">
        <v>45642</v>
      </c>
      <c r="Z4" s="128" t="n">
        <v>19.8</v>
      </c>
      <c r="AA4" s="38"/>
      <c r="AB4" s="39"/>
      <c r="AC4" s="39"/>
      <c r="AD4" s="40"/>
      <c r="AE4" s="104" t="n">
        <v>45652</v>
      </c>
      <c r="AF4" s="28" t="n">
        <v>6</v>
      </c>
      <c r="AG4" s="41"/>
      <c r="AH4" s="41"/>
      <c r="AI4" s="37" t="n">
        <f aca="false">SUM(AF4,AH4)</f>
        <v>6</v>
      </c>
      <c r="AJ4" s="42"/>
      <c r="AK4" s="43" t="str">
        <f aca="false">IF(AND(T4&gt;=12,Z4&gt;=12,AI4&gt;=6),"да","нет")</f>
        <v>да</v>
      </c>
      <c r="AL4" s="2"/>
      <c r="AM4" s="2" t="n">
        <v>39</v>
      </c>
      <c r="AN4" s="23" t="n">
        <f aca="false">SUM(T4,Z4,AB4,AC4,AI4,AM4,AL4)</f>
        <v>84.3</v>
      </c>
      <c r="AO4" s="29" t="str">
        <f aca="false">IF(AND(T4&gt;=12,Z4&gt;=12,AI4&gt;=6,AM4&gt;=24,AN4&gt;=60),"Зачет","Незачет")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203</v>
      </c>
      <c r="C5" s="27" t="s">
        <v>125</v>
      </c>
      <c r="D5" s="27" t="n">
        <v>465967</v>
      </c>
      <c r="E5" s="28" t="s">
        <v>45</v>
      </c>
      <c r="F5" s="28" t="s">
        <v>523</v>
      </c>
      <c r="G5" s="28" t="s">
        <v>523</v>
      </c>
      <c r="H5" s="28" t="s">
        <v>518</v>
      </c>
      <c r="I5" s="28" t="s">
        <v>523</v>
      </c>
      <c r="J5" s="28" t="s">
        <v>523</v>
      </c>
      <c r="K5" s="28" t="s">
        <v>523</v>
      </c>
      <c r="L5" s="28" t="s">
        <v>523</v>
      </c>
      <c r="M5" s="28" t="s">
        <v>551</v>
      </c>
      <c r="N5" s="29" t="s">
        <v>551</v>
      </c>
      <c r="O5" s="29" t="s">
        <v>551</v>
      </c>
      <c r="P5" s="29"/>
      <c r="Q5" s="30"/>
      <c r="R5" s="31" t="n">
        <v>1503</v>
      </c>
      <c r="S5" s="126" t="n">
        <v>45642</v>
      </c>
      <c r="T5" s="125" t="n">
        <v>18.5</v>
      </c>
      <c r="U5" s="34"/>
      <c r="V5" s="35" t="n">
        <v>11503</v>
      </c>
      <c r="W5" s="127" t="n">
        <v>45649</v>
      </c>
      <c r="X5" s="127" t="n">
        <v>45649</v>
      </c>
      <c r="Y5" s="127" t="n">
        <v>45649</v>
      </c>
      <c r="Z5" s="128" t="n">
        <v>18</v>
      </c>
      <c r="AA5" s="38"/>
      <c r="AB5" s="39"/>
      <c r="AC5" s="39"/>
      <c r="AD5" s="44"/>
      <c r="AE5" s="104" t="n">
        <v>45702</v>
      </c>
      <c r="AF5" s="28" t="n">
        <v>6</v>
      </c>
      <c r="AG5" s="36"/>
      <c r="AH5" s="36"/>
      <c r="AI5" s="37" t="n">
        <f aca="false">SUM(AF5,AH5)</f>
        <v>6</v>
      </c>
      <c r="AJ5" s="42"/>
      <c r="AK5" s="43" t="str">
        <f aca="false">IF(AND(T5&gt;=12,Z5&gt;=12,AI5&gt;=6),"да","нет")</f>
        <v>да</v>
      </c>
      <c r="AL5" s="2"/>
      <c r="AM5" s="2" t="n">
        <v>30</v>
      </c>
      <c r="AN5" s="23" t="n">
        <f aca="false">SUM(T5,Z5,AB5,AC5,AI5,AM5,AL5)</f>
        <v>72.5</v>
      </c>
      <c r="AO5" s="29" t="str">
        <f aca="false">IF(AND(T5&gt;=12,Z5&gt;=12,AI5&gt;=6,AM5&gt;=24,AN5&gt;=60),"Зачет","Незачет")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227</v>
      </c>
      <c r="C6" s="27" t="s">
        <v>125</v>
      </c>
      <c r="D6" s="27" t="n">
        <v>466177</v>
      </c>
      <c r="E6" s="28" t="s">
        <v>518</v>
      </c>
      <c r="F6" s="28" t="s">
        <v>45</v>
      </c>
      <c r="G6" s="28" t="s">
        <v>518</v>
      </c>
      <c r="H6" s="28" t="s">
        <v>523</v>
      </c>
      <c r="I6" s="28" t="s">
        <v>518</v>
      </c>
      <c r="J6" s="28" t="s">
        <v>523</v>
      </c>
      <c r="K6" s="28" t="s">
        <v>523</v>
      </c>
      <c r="L6" s="28" t="s">
        <v>523</v>
      </c>
      <c r="M6" s="28" t="s">
        <v>523</v>
      </c>
      <c r="N6" s="29" t="s">
        <v>551</v>
      </c>
      <c r="O6" s="29" t="s">
        <v>551</v>
      </c>
      <c r="P6" s="29"/>
      <c r="Q6" s="30"/>
      <c r="R6" s="31" t="n">
        <v>1504</v>
      </c>
      <c r="S6" s="126" t="n">
        <v>45642</v>
      </c>
      <c r="T6" s="125" t="n">
        <v>18.5</v>
      </c>
      <c r="U6" s="34"/>
      <c r="V6" s="35" t="n">
        <v>11504</v>
      </c>
      <c r="W6" s="127" t="n">
        <v>45649</v>
      </c>
      <c r="X6" s="127" t="n">
        <v>45653</v>
      </c>
      <c r="Y6" s="127" t="n">
        <v>45653</v>
      </c>
      <c r="Z6" s="128" t="n">
        <v>18</v>
      </c>
      <c r="AA6" s="38"/>
      <c r="AB6" s="39"/>
      <c r="AC6" s="39"/>
      <c r="AD6" s="44"/>
      <c r="AE6" s="104" t="n">
        <v>45652</v>
      </c>
      <c r="AF6" s="28" t="n">
        <v>6</v>
      </c>
      <c r="AG6" s="36"/>
      <c r="AH6" s="36"/>
      <c r="AI6" s="37" t="n">
        <f aca="false">SUM(AF6,AH6)</f>
        <v>6</v>
      </c>
      <c r="AJ6" s="42"/>
      <c r="AK6" s="43" t="str">
        <f aca="false">IF(AND(T6&gt;=12,Z6&gt;=12,AI6&gt;=6),"да","нет")</f>
        <v>да</v>
      </c>
      <c r="AL6" s="2"/>
      <c r="AM6" s="2" t="n">
        <v>39</v>
      </c>
      <c r="AN6" s="23" t="n">
        <f aca="false">SUM(T6,Z6,AB6,AC6,AI6,AM6,AL6)</f>
        <v>81.5</v>
      </c>
      <c r="AO6" s="29" t="str">
        <f aca="false">IF(AND(T6&gt;=12,Z6&gt;=12,AI6&gt;=6,AM6&gt;=24,AN6&gt;=60),"Зачет","Незачет")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257</v>
      </c>
      <c r="C7" s="27" t="s">
        <v>125</v>
      </c>
      <c r="D7" s="27" t="n">
        <v>408931</v>
      </c>
      <c r="E7" s="28" t="s">
        <v>45</v>
      </c>
      <c r="F7" s="28" t="s">
        <v>45</v>
      </c>
      <c r="G7" s="28" t="s">
        <v>45</v>
      </c>
      <c r="H7" s="28" t="s">
        <v>45</v>
      </c>
      <c r="I7" s="28" t="s">
        <v>45</v>
      </c>
      <c r="J7" s="28" t="s">
        <v>523</v>
      </c>
      <c r="K7" s="28" t="s">
        <v>523</v>
      </c>
      <c r="L7" s="28" t="s">
        <v>523</v>
      </c>
      <c r="M7" s="28" t="s">
        <v>523</v>
      </c>
      <c r="N7" s="29" t="s">
        <v>551</v>
      </c>
      <c r="O7" s="29" t="s">
        <v>551</v>
      </c>
      <c r="P7" s="29"/>
      <c r="Q7" s="30"/>
      <c r="R7" s="31" t="n">
        <v>1505</v>
      </c>
      <c r="S7" s="126" t="n">
        <v>45642</v>
      </c>
      <c r="T7" s="125" t="n">
        <v>18</v>
      </c>
      <c r="U7" s="34"/>
      <c r="V7" s="35" t="n">
        <v>11505</v>
      </c>
      <c r="W7" s="127" t="n">
        <v>45649</v>
      </c>
      <c r="X7" s="127" t="n">
        <v>45653</v>
      </c>
      <c r="Y7" s="127" t="n">
        <v>45653</v>
      </c>
      <c r="Z7" s="128" t="n">
        <v>16</v>
      </c>
      <c r="AA7" s="38"/>
      <c r="AB7" s="39"/>
      <c r="AC7" s="39"/>
      <c r="AD7" s="40"/>
      <c r="AE7" s="129" t="n">
        <v>45647</v>
      </c>
      <c r="AF7" s="28" t="n">
        <v>9</v>
      </c>
      <c r="AG7" s="41"/>
      <c r="AH7" s="41"/>
      <c r="AI7" s="37" t="n">
        <f aca="false">SUM(AF7,AH7)</f>
        <v>9</v>
      </c>
      <c r="AJ7" s="42"/>
      <c r="AK7" s="43" t="str">
        <f aca="false">IF(AND(T7&gt;=12,Z7&gt;=12,AI7&gt;=6),"да","нет")</f>
        <v>да</v>
      </c>
      <c r="AL7" s="2"/>
      <c r="AM7" s="2" t="n">
        <v>40</v>
      </c>
      <c r="AN7" s="23" t="n">
        <f aca="false">SUM(T7,Z7,AB7,AC7,AI7,AM7,AL7)</f>
        <v>83</v>
      </c>
      <c r="AO7" s="29" t="str">
        <f aca="false">IF(AND(T7&gt;=12,Z7&gt;=12,AI7&gt;=6,AM7&gt;=24,AN7&gt;=60),"Зачет","Незачет")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130" t="s">
        <v>281</v>
      </c>
      <c r="C8" s="27" t="s">
        <v>125</v>
      </c>
      <c r="D8" s="27" t="n">
        <v>466513</v>
      </c>
      <c r="E8" s="28" t="s">
        <v>45</v>
      </c>
      <c r="F8" s="28" t="s">
        <v>523</v>
      </c>
      <c r="G8" s="28" t="s">
        <v>523</v>
      </c>
      <c r="H8" s="28" t="s">
        <v>523</v>
      </c>
      <c r="I8" s="28" t="s">
        <v>523</v>
      </c>
      <c r="J8" s="28" t="s">
        <v>523</v>
      </c>
      <c r="K8" s="28" t="s">
        <v>523</v>
      </c>
      <c r="L8" s="28" t="s">
        <v>551</v>
      </c>
      <c r="M8" s="28" t="s">
        <v>551</v>
      </c>
      <c r="N8" s="29" t="s">
        <v>551</v>
      </c>
      <c r="O8" s="29" t="s">
        <v>551</v>
      </c>
      <c r="P8" s="29"/>
      <c r="Q8" s="30"/>
      <c r="R8" s="31" t="n">
        <v>1506</v>
      </c>
      <c r="S8" s="4" t="s">
        <v>552</v>
      </c>
      <c r="T8" s="125" t="n">
        <v>18.5</v>
      </c>
      <c r="U8" s="34"/>
      <c r="V8" s="35" t="n">
        <v>15060</v>
      </c>
      <c r="W8" s="4" t="s">
        <v>554</v>
      </c>
      <c r="X8" s="127" t="n">
        <v>45642</v>
      </c>
      <c r="Y8" s="127" t="n">
        <v>45642</v>
      </c>
      <c r="Z8" s="128" t="n">
        <v>18</v>
      </c>
      <c r="AA8" s="38"/>
      <c r="AB8" s="39"/>
      <c r="AC8" s="39"/>
      <c r="AD8" s="40"/>
      <c r="AE8" s="129" t="n">
        <v>45647</v>
      </c>
      <c r="AF8" s="28" t="n">
        <v>10</v>
      </c>
      <c r="AG8" s="41"/>
      <c r="AH8" s="41"/>
      <c r="AI8" s="37" t="n">
        <f aca="false">SUM(AF8,AH8)</f>
        <v>10</v>
      </c>
      <c r="AJ8" s="42"/>
      <c r="AK8" s="43" t="str">
        <f aca="false">IF(AND(T8&gt;=12,Z8&gt;=12,AI8&gt;=6),"да","нет")</f>
        <v>да</v>
      </c>
      <c r="AL8" s="2"/>
      <c r="AM8" s="2" t="n">
        <v>40</v>
      </c>
      <c r="AN8" s="23" t="n">
        <f aca="false">SUM(T8,Z8,AB8,AC8,AI8,AM8,AL8)</f>
        <v>86.5</v>
      </c>
      <c r="AO8" s="29" t="str">
        <f aca="false">IF(AND(T8&gt;=12,Z8&gt;=12,AI8&gt;=6,AM8&gt;=24,AN8&gt;=60),"Зачет","Незачет")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299</v>
      </c>
      <c r="C9" s="27" t="s">
        <v>125</v>
      </c>
      <c r="D9" s="27" t="n">
        <v>466662</v>
      </c>
      <c r="E9" s="28" t="s">
        <v>45</v>
      </c>
      <c r="F9" s="28" t="s">
        <v>518</v>
      </c>
      <c r="G9" s="28" t="s">
        <v>518</v>
      </c>
      <c r="H9" s="28" t="s">
        <v>523</v>
      </c>
      <c r="I9" s="28" t="s">
        <v>523</v>
      </c>
      <c r="J9" s="28" t="s">
        <v>523</v>
      </c>
      <c r="K9" s="28" t="s">
        <v>523</v>
      </c>
      <c r="L9" s="28" t="s">
        <v>523</v>
      </c>
      <c r="M9" s="28" t="s">
        <v>523</v>
      </c>
      <c r="N9" s="29" t="s">
        <v>551</v>
      </c>
      <c r="O9" s="29" t="s">
        <v>551</v>
      </c>
      <c r="P9" s="29"/>
      <c r="Q9" s="30"/>
      <c r="R9" s="31" t="n">
        <v>1507</v>
      </c>
      <c r="S9" s="126" t="n">
        <v>45642</v>
      </c>
      <c r="T9" s="125" t="n">
        <v>18</v>
      </c>
      <c r="U9" s="34"/>
      <c r="V9" s="35" t="n">
        <v>11507</v>
      </c>
      <c r="W9" s="127" t="n">
        <v>45649</v>
      </c>
      <c r="X9" s="127" t="n">
        <v>45653</v>
      </c>
      <c r="Y9" s="127" t="n">
        <v>45653</v>
      </c>
      <c r="Z9" s="128" t="n">
        <v>17</v>
      </c>
      <c r="AA9" s="38"/>
      <c r="AB9" s="39"/>
      <c r="AC9" s="39"/>
      <c r="AD9" s="44"/>
      <c r="AE9" s="104" t="n">
        <v>45652</v>
      </c>
      <c r="AF9" s="28" t="n">
        <v>6</v>
      </c>
      <c r="AG9" s="36"/>
      <c r="AH9" s="36"/>
      <c r="AI9" s="37" t="n">
        <f aca="false">SUM(AF9,AH9)</f>
        <v>6</v>
      </c>
      <c r="AJ9" s="42"/>
      <c r="AK9" s="43" t="str">
        <f aca="false">IF(AND(T9&gt;=12,Z9&gt;=12,AI9&gt;=6),"да","нет")</f>
        <v>да</v>
      </c>
      <c r="AL9" s="2"/>
      <c r="AM9" s="2" t="n">
        <v>29</v>
      </c>
      <c r="AN9" s="23" t="n">
        <f aca="false">SUM(T9,Z9,AB9,AC9,AI9,AM9,AL9)</f>
        <v>70</v>
      </c>
      <c r="AO9" s="29" t="str">
        <f aca="false">IF(AND(T9&gt;=12,Z9&gt;=12,AI9&gt;=6,AM9&gt;=24,AN9&gt;=60),"Зачет","Незачет")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555</v>
      </c>
      <c r="C10" s="27" t="s">
        <v>125</v>
      </c>
      <c r="D10" s="27" t="n">
        <v>466890</v>
      </c>
      <c r="E10" s="28" t="s">
        <v>45</v>
      </c>
      <c r="F10" s="28" t="s">
        <v>45</v>
      </c>
      <c r="G10" s="28" t="s">
        <v>45</v>
      </c>
      <c r="H10" s="28" t="s">
        <v>45</v>
      </c>
      <c r="I10" s="28" t="s">
        <v>523</v>
      </c>
      <c r="J10" s="28" t="s">
        <v>523</v>
      </c>
      <c r="K10" s="28" t="s">
        <v>45</v>
      </c>
      <c r="L10" s="28" t="s">
        <v>523</v>
      </c>
      <c r="M10" s="28" t="s">
        <v>551</v>
      </c>
      <c r="N10" s="29" t="s">
        <v>523</v>
      </c>
      <c r="O10" s="29" t="s">
        <v>523</v>
      </c>
      <c r="P10" s="29"/>
      <c r="Q10" s="30"/>
      <c r="R10" s="31" t="n">
        <v>1508</v>
      </c>
      <c r="S10" s="127" t="s">
        <v>556</v>
      </c>
      <c r="T10" s="125" t="n">
        <v>13</v>
      </c>
      <c r="U10" s="34"/>
      <c r="V10" s="35" t="n">
        <v>15089</v>
      </c>
      <c r="W10" s="127" t="n">
        <v>45699</v>
      </c>
      <c r="X10" s="127" t="n">
        <v>45699</v>
      </c>
      <c r="Y10" s="127" t="n">
        <v>45699</v>
      </c>
      <c r="Z10" s="128" t="n">
        <v>12</v>
      </c>
      <c r="AA10" s="38"/>
      <c r="AB10" s="39"/>
      <c r="AC10" s="39"/>
      <c r="AD10" s="40"/>
      <c r="AE10" s="104" t="n">
        <v>45702</v>
      </c>
      <c r="AF10" s="28" t="n">
        <v>6</v>
      </c>
      <c r="AG10" s="41"/>
      <c r="AH10" s="41"/>
      <c r="AI10" s="37" t="n">
        <f aca="false">SUM(AF10,AH10)</f>
        <v>6</v>
      </c>
      <c r="AJ10" s="42"/>
      <c r="AK10" s="43" t="str">
        <f aca="false">IF(AND(T10&gt;=12,Z10&gt;=12,AI10&gt;=6),"да","нет")</f>
        <v>да</v>
      </c>
      <c r="AL10" s="2"/>
      <c r="AM10" s="2" t="n">
        <v>32</v>
      </c>
      <c r="AN10" s="23" t="n">
        <f aca="false">SUM(T10,Z10,AB10,AC10,AI10,AM10,AL10)</f>
        <v>63</v>
      </c>
      <c r="AO10" s="29" t="str">
        <f aca="false">IF(AND(T10&gt;=12,Z10&gt;=12,AI10&gt;=6,AM10&gt;=24,AN10&gt;=60),"Зачет","Незачет")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347</v>
      </c>
      <c r="C11" s="27" t="s">
        <v>125</v>
      </c>
      <c r="D11" s="27" t="n">
        <v>467018</v>
      </c>
      <c r="E11" s="28" t="s">
        <v>45</v>
      </c>
      <c r="F11" s="28" t="s">
        <v>45</v>
      </c>
      <c r="G11" s="28" t="s">
        <v>523</v>
      </c>
      <c r="H11" s="28" t="s">
        <v>523</v>
      </c>
      <c r="I11" s="28" t="s">
        <v>523</v>
      </c>
      <c r="J11" s="28" t="s">
        <v>523</v>
      </c>
      <c r="K11" s="28" t="s">
        <v>523</v>
      </c>
      <c r="L11" s="28" t="s">
        <v>518</v>
      </c>
      <c r="M11" s="28" t="s">
        <v>523</v>
      </c>
      <c r="N11" s="29" t="s">
        <v>523</v>
      </c>
      <c r="O11" s="29" t="s">
        <v>551</v>
      </c>
      <c r="P11" s="29"/>
      <c r="Q11" s="30"/>
      <c r="R11" s="31" t="n">
        <v>1509</v>
      </c>
      <c r="S11" s="4" t="s">
        <v>554</v>
      </c>
      <c r="T11" s="125" t="n">
        <v>19</v>
      </c>
      <c r="U11" s="34"/>
      <c r="V11" s="35" t="n">
        <v>15290</v>
      </c>
      <c r="W11" s="127" t="n">
        <v>45652</v>
      </c>
      <c r="X11" s="127" t="n">
        <v>45653</v>
      </c>
      <c r="Y11" s="127" t="n">
        <v>45698</v>
      </c>
      <c r="Z11" s="128" t="n">
        <v>14</v>
      </c>
      <c r="AA11" s="38"/>
      <c r="AB11" s="39"/>
      <c r="AC11" s="39"/>
      <c r="AD11" s="40"/>
      <c r="AE11" s="129" t="n">
        <v>45647</v>
      </c>
      <c r="AF11" s="28" t="n">
        <v>9</v>
      </c>
      <c r="AG11" s="41"/>
      <c r="AH11" s="41"/>
      <c r="AI11" s="37" t="n">
        <f aca="false">SUM(AF11,AH11)</f>
        <v>9</v>
      </c>
      <c r="AJ11" s="42"/>
      <c r="AK11" s="43" t="str">
        <f aca="false">IF(AND(T11&gt;=12,Z11&gt;=12,AI11&gt;=6),"да","нет")</f>
        <v>да</v>
      </c>
      <c r="AL11" s="2"/>
      <c r="AM11" s="2" t="n">
        <v>30</v>
      </c>
      <c r="AN11" s="23" t="n">
        <f aca="false">SUM(T11,Z11,AB11,AC11,AI11,AM11,AL11)</f>
        <v>72</v>
      </c>
      <c r="AO11" s="29" t="str">
        <f aca="false">IF(AND(T11&gt;=12,Z11&gt;=12,AI11&gt;=6,AM11&gt;=24,AN11&gt;=60),"Зачет","Незачет")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370</v>
      </c>
      <c r="C12" s="27" t="s">
        <v>125</v>
      </c>
      <c r="D12" s="27" t="n">
        <v>467213</v>
      </c>
      <c r="E12" s="28" t="s">
        <v>45</v>
      </c>
      <c r="F12" s="28" t="s">
        <v>523</v>
      </c>
      <c r="G12" s="28" t="s">
        <v>523</v>
      </c>
      <c r="H12" s="28" t="s">
        <v>523</v>
      </c>
      <c r="I12" s="28" t="s">
        <v>523</v>
      </c>
      <c r="J12" s="28" t="s">
        <v>523</v>
      </c>
      <c r="K12" s="28" t="s">
        <v>523</v>
      </c>
      <c r="L12" s="28" t="s">
        <v>523</v>
      </c>
      <c r="M12" s="28" t="s">
        <v>551</v>
      </c>
      <c r="N12" s="29" t="s">
        <v>551</v>
      </c>
      <c r="O12" s="29" t="s">
        <v>551</v>
      </c>
      <c r="P12" s="29"/>
      <c r="Q12" s="30"/>
      <c r="R12" s="31" t="n">
        <v>1510</v>
      </c>
      <c r="S12" s="4" t="s">
        <v>552</v>
      </c>
      <c r="T12" s="125" t="n">
        <v>19</v>
      </c>
      <c r="U12" s="34"/>
      <c r="V12" s="35" t="n">
        <v>15101</v>
      </c>
      <c r="W12" s="126" t="n">
        <v>45642</v>
      </c>
      <c r="X12" s="127" t="n">
        <v>45649</v>
      </c>
      <c r="Y12" s="127" t="n">
        <v>45649</v>
      </c>
      <c r="Z12" s="128" t="n">
        <v>18</v>
      </c>
      <c r="AA12" s="38"/>
      <c r="AB12" s="39"/>
      <c r="AC12" s="39"/>
      <c r="AD12" s="40"/>
      <c r="AE12" s="129" t="n">
        <v>45647</v>
      </c>
      <c r="AF12" s="28" t="n">
        <v>10</v>
      </c>
      <c r="AG12" s="41"/>
      <c r="AH12" s="41"/>
      <c r="AI12" s="37" t="n">
        <f aca="false">SUM(AF12,AH12)</f>
        <v>10</v>
      </c>
      <c r="AJ12" s="42"/>
      <c r="AK12" s="43" t="str">
        <f aca="false">IF(AND(T12&gt;=12,Z12&gt;=12,AI12&gt;=6),"да","нет")</f>
        <v>да</v>
      </c>
      <c r="AL12" s="2"/>
      <c r="AM12" s="2" t="n">
        <v>40</v>
      </c>
      <c r="AN12" s="23" t="n">
        <f aca="false">SUM(T12,Z12,AB12,AC12,AI12,AM12,AL12)</f>
        <v>87</v>
      </c>
      <c r="AO12" s="29" t="str">
        <f aca="false">IF(AND(T12&gt;=12,Z12&gt;=12,AI12&gt;=6,AM12&gt;=24,AN12&gt;=60),"Зачет","Незачет")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402</v>
      </c>
      <c r="C13" s="27" t="s">
        <v>125</v>
      </c>
      <c r="D13" s="27" t="n">
        <v>467409</v>
      </c>
      <c r="E13" s="28" t="s">
        <v>45</v>
      </c>
      <c r="F13" s="28" t="s">
        <v>45</v>
      </c>
      <c r="G13" s="28" t="s">
        <v>518</v>
      </c>
      <c r="H13" s="28" t="s">
        <v>523</v>
      </c>
      <c r="I13" s="28" t="s">
        <v>523</v>
      </c>
      <c r="J13" s="28" t="s">
        <v>523</v>
      </c>
      <c r="K13" s="28" t="s">
        <v>523</v>
      </c>
      <c r="L13" s="28" t="s">
        <v>523</v>
      </c>
      <c r="M13" s="28" t="s">
        <v>523</v>
      </c>
      <c r="N13" s="29" t="s">
        <v>551</v>
      </c>
      <c r="O13" s="29" t="s">
        <v>551</v>
      </c>
      <c r="P13" s="29"/>
      <c r="Q13" s="30"/>
      <c r="R13" s="31" t="n">
        <v>1511</v>
      </c>
      <c r="S13" s="126" t="n">
        <v>45642</v>
      </c>
      <c r="T13" s="125" t="n">
        <v>18.5</v>
      </c>
      <c r="U13" s="34"/>
      <c r="V13" s="35" t="n">
        <v>15111</v>
      </c>
      <c r="W13" s="127" t="n">
        <v>45651</v>
      </c>
      <c r="X13" s="127" t="n">
        <v>45653</v>
      </c>
      <c r="Y13" s="127" t="n">
        <v>45653</v>
      </c>
      <c r="Z13" s="128" t="n">
        <v>18.5</v>
      </c>
      <c r="AA13" s="38"/>
      <c r="AB13" s="39"/>
      <c r="AC13" s="39"/>
      <c r="AD13" s="40"/>
      <c r="AE13" s="129" t="n">
        <v>45647</v>
      </c>
      <c r="AF13" s="28" t="n">
        <v>6</v>
      </c>
      <c r="AG13" s="41"/>
      <c r="AH13" s="41"/>
      <c r="AI13" s="37" t="n">
        <f aca="false">SUM(AF13,AH13)</f>
        <v>6</v>
      </c>
      <c r="AJ13" s="42"/>
      <c r="AK13" s="43" t="str">
        <f aca="false">IF(AND(T13&gt;=12,Z13&gt;=12,AI13&gt;=6),"да","нет")</f>
        <v>да</v>
      </c>
      <c r="AL13" s="2"/>
      <c r="AM13" s="2" t="n">
        <v>40</v>
      </c>
      <c r="AN13" s="23" t="n">
        <f aca="false">SUM(T13,Z13,AB13,AC13,AI13,AM13,AL13)</f>
        <v>83</v>
      </c>
      <c r="AO13" s="29" t="str">
        <f aca="false">IF(AND(T13&gt;=12,Z13&gt;=12,AI13&gt;=6,AM13&gt;=24,AN13&gt;=60),"Зачет","Незачет")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420</v>
      </c>
      <c r="C14" s="27" t="s">
        <v>125</v>
      </c>
      <c r="D14" s="27" t="n">
        <v>467525</v>
      </c>
      <c r="E14" s="28" t="s">
        <v>45</v>
      </c>
      <c r="F14" s="28" t="s">
        <v>45</v>
      </c>
      <c r="G14" s="28" t="s">
        <v>45</v>
      </c>
      <c r="H14" s="28" t="s">
        <v>523</v>
      </c>
      <c r="I14" s="28" t="s">
        <v>523</v>
      </c>
      <c r="J14" s="28" t="s">
        <v>45</v>
      </c>
      <c r="K14" s="28" t="s">
        <v>523</v>
      </c>
      <c r="L14" s="28" t="s">
        <v>523</v>
      </c>
      <c r="M14" s="28" t="s">
        <v>523</v>
      </c>
      <c r="N14" s="29" t="s">
        <v>551</v>
      </c>
      <c r="O14" s="29" t="s">
        <v>551</v>
      </c>
      <c r="P14" s="29"/>
      <c r="Q14" s="30"/>
      <c r="R14" s="31" t="n">
        <v>1512</v>
      </c>
      <c r="S14" s="4" t="s">
        <v>552</v>
      </c>
      <c r="T14" s="125" t="n">
        <v>18.5</v>
      </c>
      <c r="U14" s="34"/>
      <c r="V14" s="35" t="n">
        <v>15121</v>
      </c>
      <c r="W14" s="127" t="n">
        <v>45649</v>
      </c>
      <c r="X14" s="127" t="n">
        <v>45653</v>
      </c>
      <c r="Y14" s="127" t="n">
        <v>45653</v>
      </c>
      <c r="Z14" s="128" t="n">
        <v>17</v>
      </c>
      <c r="AA14" s="38"/>
      <c r="AB14" s="39"/>
      <c r="AC14" s="39"/>
      <c r="AD14" s="40"/>
      <c r="AE14" s="104" t="n">
        <v>45652</v>
      </c>
      <c r="AF14" s="28" t="n">
        <v>6</v>
      </c>
      <c r="AG14" s="41"/>
      <c r="AH14" s="41"/>
      <c r="AI14" s="37" t="n">
        <f aca="false">SUM(AF14,AH14)</f>
        <v>6</v>
      </c>
      <c r="AJ14" s="42"/>
      <c r="AK14" s="43" t="str">
        <f aca="false">IF(AND(T14&gt;=12,Z14&gt;=12,AI14&gt;=6),"да","нет")</f>
        <v>да</v>
      </c>
      <c r="AL14" s="2"/>
      <c r="AM14" s="2" t="n">
        <v>30</v>
      </c>
      <c r="AN14" s="23" t="n">
        <f aca="false">SUM(T14,Z14,AB14,AC14,AI14,AM14,AL14)</f>
        <v>71.5</v>
      </c>
      <c r="AO14" s="29" t="str">
        <f aca="false">IF(AND(T14&gt;=12,Z14&gt;=12,AI14&gt;=6,AM14&gt;=24,AN14&gt;=60),"Зачет","Незачет")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430</v>
      </c>
      <c r="C15" s="27" t="s">
        <v>125</v>
      </c>
      <c r="D15" s="27" t="n">
        <v>467593</v>
      </c>
      <c r="E15" s="28" t="s">
        <v>45</v>
      </c>
      <c r="F15" s="28" t="s">
        <v>518</v>
      </c>
      <c r="G15" s="28" t="s">
        <v>45</v>
      </c>
      <c r="H15" s="28" t="s">
        <v>45</v>
      </c>
      <c r="I15" s="28" t="s">
        <v>523</v>
      </c>
      <c r="J15" s="28" t="s">
        <v>523</v>
      </c>
      <c r="K15" s="28" t="s">
        <v>523</v>
      </c>
      <c r="L15" s="28" t="s">
        <v>523</v>
      </c>
      <c r="M15" s="28" t="s">
        <v>523</v>
      </c>
      <c r="N15" s="29" t="s">
        <v>551</v>
      </c>
      <c r="O15" s="29" t="s">
        <v>551</v>
      </c>
      <c r="P15" s="29"/>
      <c r="Q15" s="30"/>
      <c r="R15" s="31" t="n">
        <v>1513</v>
      </c>
      <c r="S15" s="126" t="n">
        <v>45642</v>
      </c>
      <c r="T15" s="125" t="n">
        <v>18</v>
      </c>
      <c r="U15" s="34"/>
      <c r="V15" s="35" t="n">
        <v>11513</v>
      </c>
      <c r="W15" s="127" t="n">
        <v>45649</v>
      </c>
      <c r="X15" s="127" t="n">
        <v>45653</v>
      </c>
      <c r="Y15" s="127" t="n">
        <v>45653</v>
      </c>
      <c r="Z15" s="128" t="n">
        <v>18.5</v>
      </c>
      <c r="AA15" s="38"/>
      <c r="AB15" s="39"/>
      <c r="AC15" s="39"/>
      <c r="AD15" s="40"/>
      <c r="AE15" s="129" t="n">
        <v>45647</v>
      </c>
      <c r="AF15" s="28" t="n">
        <v>9.5</v>
      </c>
      <c r="AG15" s="41"/>
      <c r="AH15" s="41"/>
      <c r="AI15" s="37" t="n">
        <f aca="false">SUM(AF15,AH15)</f>
        <v>9.5</v>
      </c>
      <c r="AJ15" s="42"/>
      <c r="AK15" s="43" t="str">
        <f aca="false">IF(AND(T15&gt;=12,Z15&gt;=12,AI15&gt;=6),"да","нет")</f>
        <v>да</v>
      </c>
      <c r="AL15" s="2"/>
      <c r="AM15" s="37" t="n">
        <v>40</v>
      </c>
      <c r="AN15" s="23" t="n">
        <f aca="false">SUM(T15,Z15,AB15,AC15,AI15,AM15,AL15)</f>
        <v>86</v>
      </c>
      <c r="AO15" s="29" t="str">
        <f aca="false">IF(AND(T15&gt;=12,Z15&gt;=12,AI15&gt;=6,AM15&gt;=24,AN15&gt;=60),"Зачет","Незачет")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436</v>
      </c>
      <c r="C16" s="27" t="s">
        <v>125</v>
      </c>
      <c r="D16" s="27" t="n">
        <v>472530</v>
      </c>
      <c r="E16" s="28" t="s">
        <v>45</v>
      </c>
      <c r="F16" s="28" t="s">
        <v>518</v>
      </c>
      <c r="G16" s="28" t="s">
        <v>45</v>
      </c>
      <c r="H16" s="28" t="s">
        <v>518</v>
      </c>
      <c r="I16" s="28" t="s">
        <v>518</v>
      </c>
      <c r="J16" s="28" t="s">
        <v>523</v>
      </c>
      <c r="K16" s="28" t="s">
        <v>523</v>
      </c>
      <c r="L16" s="28" t="s">
        <v>523</v>
      </c>
      <c r="M16" s="28" t="s">
        <v>551</v>
      </c>
      <c r="N16" s="29" t="s">
        <v>523</v>
      </c>
      <c r="O16" s="29" t="s">
        <v>551</v>
      </c>
      <c r="P16" s="29"/>
      <c r="Q16" s="30"/>
      <c r="R16" s="31" t="n">
        <v>1514</v>
      </c>
      <c r="S16" s="126" t="n">
        <v>45642</v>
      </c>
      <c r="T16" s="125" t="n">
        <v>18</v>
      </c>
      <c r="U16" s="34"/>
      <c r="V16" s="35" t="n">
        <v>11514</v>
      </c>
      <c r="W16" s="127" t="n">
        <v>45649</v>
      </c>
      <c r="X16" s="127" t="n">
        <v>45698</v>
      </c>
      <c r="Y16" s="127" t="n">
        <v>45698</v>
      </c>
      <c r="Z16" s="128" t="n">
        <v>12</v>
      </c>
      <c r="AA16" s="38"/>
      <c r="AB16" s="39"/>
      <c r="AC16" s="39"/>
      <c r="AD16" s="40"/>
      <c r="AE16" s="104" t="n">
        <v>45702</v>
      </c>
      <c r="AF16" s="28" t="n">
        <v>6</v>
      </c>
      <c r="AG16" s="41"/>
      <c r="AH16" s="41"/>
      <c r="AI16" s="37" t="n">
        <f aca="false">SUM(AF16,AH16)</f>
        <v>6</v>
      </c>
      <c r="AJ16" s="42"/>
      <c r="AK16" s="43" t="str">
        <f aca="false">IF(AND(T16&gt;=12,Z16&gt;=12,AI16&gt;=6),"да","нет")</f>
        <v>да</v>
      </c>
      <c r="AL16" s="2"/>
      <c r="AM16" s="2" t="n">
        <v>30</v>
      </c>
      <c r="AN16" s="23" t="n">
        <f aca="false">SUM(T16,Z16,AB16,AC16,AI16,AM16,AL16)</f>
        <v>66</v>
      </c>
      <c r="AO16" s="29" t="str">
        <f aca="false">IF(AND(T16&gt;=12,Z16&gt;=12,AI16&gt;=6,AM16&gt;=24,AN16&gt;=60),"Зачет","Незачет")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455</v>
      </c>
      <c r="C17" s="27" t="s">
        <v>125</v>
      </c>
      <c r="D17" s="27" t="n">
        <v>467740</v>
      </c>
      <c r="E17" s="28" t="s">
        <v>45</v>
      </c>
      <c r="F17" s="28" t="s">
        <v>523</v>
      </c>
      <c r="G17" s="28" t="s">
        <v>523</v>
      </c>
      <c r="H17" s="28" t="s">
        <v>523</v>
      </c>
      <c r="I17" s="28" t="s">
        <v>523</v>
      </c>
      <c r="J17" s="28" t="s">
        <v>523</v>
      </c>
      <c r="K17" s="28" t="s">
        <v>523</v>
      </c>
      <c r="L17" s="28" t="s">
        <v>523</v>
      </c>
      <c r="M17" s="28" t="s">
        <v>551</v>
      </c>
      <c r="N17" s="29" t="s">
        <v>551</v>
      </c>
      <c r="O17" s="29" t="s">
        <v>551</v>
      </c>
      <c r="P17" s="29"/>
      <c r="Q17" s="30"/>
      <c r="R17" s="31" t="n">
        <v>1515</v>
      </c>
      <c r="S17" s="4" t="s">
        <v>554</v>
      </c>
      <c r="T17" s="125" t="n">
        <v>19</v>
      </c>
      <c r="U17" s="34"/>
      <c r="V17" s="35" t="n">
        <v>21515</v>
      </c>
      <c r="W17" s="126" t="n">
        <v>45642</v>
      </c>
      <c r="X17" s="127" t="n">
        <v>45649</v>
      </c>
      <c r="Y17" s="127" t="n">
        <v>45649</v>
      </c>
      <c r="Z17" s="128" t="n">
        <v>18.5</v>
      </c>
      <c r="AA17" s="38"/>
      <c r="AB17" s="39"/>
      <c r="AC17" s="39"/>
      <c r="AD17" s="44"/>
      <c r="AE17" s="129" t="n">
        <v>45647</v>
      </c>
      <c r="AF17" s="28" t="n">
        <v>10</v>
      </c>
      <c r="AG17" s="36"/>
      <c r="AH17" s="36"/>
      <c r="AI17" s="37" t="n">
        <f aca="false">SUM(AF17,AH17)</f>
        <v>10</v>
      </c>
      <c r="AJ17" s="42"/>
      <c r="AK17" s="43" t="str">
        <f aca="false">IF(AND(T17&gt;=12,Z17&gt;=12,AI17&gt;=6),"да","нет")</f>
        <v>да</v>
      </c>
      <c r="AL17" s="2"/>
      <c r="AM17" s="2" t="n">
        <v>40</v>
      </c>
      <c r="AN17" s="23" t="n">
        <f aca="false">SUM(T17,Z17,AB17,AC17,AI17,AM17,AL17)</f>
        <v>87.5</v>
      </c>
      <c r="AO17" s="29" t="str">
        <f aca="false">IF(AND(T17&gt;=12,Z17&gt;=12,AI17&gt;=6,AM17&gt;=24,AN17&gt;=60),"Зачет","Незачет")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476</v>
      </c>
      <c r="C18" s="27" t="s">
        <v>125</v>
      </c>
      <c r="D18" s="27" t="n">
        <v>467944</v>
      </c>
      <c r="E18" s="28" t="s">
        <v>45</v>
      </c>
      <c r="F18" s="28" t="s">
        <v>45</v>
      </c>
      <c r="G18" s="28" t="s">
        <v>523</v>
      </c>
      <c r="H18" s="28" t="s">
        <v>523</v>
      </c>
      <c r="I18" s="28" t="s">
        <v>523</v>
      </c>
      <c r="J18" s="28" t="s">
        <v>523</v>
      </c>
      <c r="K18" s="28" t="s">
        <v>523</v>
      </c>
      <c r="L18" s="28" t="s">
        <v>523</v>
      </c>
      <c r="M18" s="28" t="s">
        <v>551</v>
      </c>
      <c r="N18" s="29" t="s">
        <v>551</v>
      </c>
      <c r="O18" s="29" t="s">
        <v>551</v>
      </c>
      <c r="P18" s="29"/>
      <c r="Q18" s="30"/>
      <c r="R18" s="31" t="n">
        <v>1516</v>
      </c>
      <c r="S18" s="4" t="s">
        <v>554</v>
      </c>
      <c r="T18" s="125" t="n">
        <v>19</v>
      </c>
      <c r="U18" s="34"/>
      <c r="V18" s="35" t="n">
        <v>15167</v>
      </c>
      <c r="W18" s="126" t="n">
        <v>45642</v>
      </c>
      <c r="X18" s="127" t="n">
        <v>45649</v>
      </c>
      <c r="Y18" s="127" t="n">
        <v>45649</v>
      </c>
      <c r="Z18" s="128" t="n">
        <v>18</v>
      </c>
      <c r="AA18" s="38"/>
      <c r="AB18" s="39"/>
      <c r="AC18" s="39"/>
      <c r="AD18" s="40"/>
      <c r="AE18" s="129" t="n">
        <v>45647</v>
      </c>
      <c r="AF18" s="28" t="n">
        <v>9</v>
      </c>
      <c r="AG18" s="41"/>
      <c r="AH18" s="41"/>
      <c r="AI18" s="37" t="n">
        <f aca="false">SUM(AF18,AH18)</f>
        <v>9</v>
      </c>
      <c r="AJ18" s="42"/>
      <c r="AK18" s="43" t="str">
        <f aca="false">IF(AND(T18&gt;=12,Z18&gt;=12,AI18&gt;=6),"да","нет")</f>
        <v>да</v>
      </c>
      <c r="AL18" s="2"/>
      <c r="AM18" s="2" t="n">
        <v>40</v>
      </c>
      <c r="AN18" s="23" t="n">
        <f aca="false">SUM(T18,Z18,AB18,AC18,AI18,AM18,AL18)</f>
        <v>86</v>
      </c>
      <c r="AO18" s="29" t="str">
        <f aca="false">IF(AND(T18&gt;=12,Z18&gt;=12,AI18&gt;=6,AM18&gt;=24,AN18&gt;=60),"Зачет","Незачет")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484</v>
      </c>
      <c r="C19" s="27" t="s">
        <v>125</v>
      </c>
      <c r="D19" s="27" t="n">
        <v>468013</v>
      </c>
      <c r="E19" s="28" t="s">
        <v>45</v>
      </c>
      <c r="F19" s="28" t="s">
        <v>45</v>
      </c>
      <c r="G19" s="28" t="s">
        <v>523</v>
      </c>
      <c r="H19" s="28" t="s">
        <v>523</v>
      </c>
      <c r="I19" s="28" t="s">
        <v>523</v>
      </c>
      <c r="J19" s="28" t="s">
        <v>523</v>
      </c>
      <c r="K19" s="28" t="s">
        <v>523</v>
      </c>
      <c r="L19" s="28" t="s">
        <v>523</v>
      </c>
      <c r="M19" s="28" t="s">
        <v>523</v>
      </c>
      <c r="N19" s="29" t="s">
        <v>551</v>
      </c>
      <c r="O19" s="29" t="s">
        <v>551</v>
      </c>
      <c r="P19" s="29"/>
      <c r="Q19" s="30"/>
      <c r="R19" s="31" t="n">
        <v>1517</v>
      </c>
      <c r="S19" s="126" t="n">
        <v>45642</v>
      </c>
      <c r="T19" s="125" t="n">
        <v>18</v>
      </c>
      <c r="U19" s="34"/>
      <c r="V19" s="35" t="n">
        <v>11517</v>
      </c>
      <c r="W19" s="127" t="n">
        <v>45649</v>
      </c>
      <c r="X19" s="127" t="n">
        <v>45653</v>
      </c>
      <c r="Y19" s="127" t="n">
        <v>45653</v>
      </c>
      <c r="Z19" s="128" t="n">
        <v>18.5</v>
      </c>
      <c r="AA19" s="38"/>
      <c r="AB19" s="39"/>
      <c r="AC19" s="39"/>
      <c r="AD19" s="40"/>
      <c r="AE19" s="129" t="n">
        <v>45647</v>
      </c>
      <c r="AF19" s="28" t="n">
        <v>8</v>
      </c>
      <c r="AG19" s="41"/>
      <c r="AH19" s="41"/>
      <c r="AI19" s="37" t="n">
        <f aca="false">SUM(AF19,AH19)</f>
        <v>8</v>
      </c>
      <c r="AJ19" s="42"/>
      <c r="AK19" s="43" t="str">
        <f aca="false">IF(AND(T19&gt;=12,Z19&gt;=12,AI19&gt;=6),"да","нет")</f>
        <v>да</v>
      </c>
      <c r="AL19" s="2"/>
      <c r="AM19" s="2" t="n">
        <v>40</v>
      </c>
      <c r="AN19" s="23" t="n">
        <f aca="false">SUM(T19,Z19,AB19,AC19,AI19,AM19,AL19)</f>
        <v>84.5</v>
      </c>
      <c r="AO19" s="29" t="str">
        <f aca="false">IF(AND(T19&gt;=12,Z19&gt;=12,AI19&gt;=6,AM19&gt;=24,AN19&gt;=60),"Зачет","Незачет")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9"/>
      <c r="O20" s="29"/>
      <c r="P20" s="29"/>
      <c r="Q20" s="30"/>
      <c r="R20" s="46"/>
      <c r="S20" s="36"/>
      <c r="T20" s="37"/>
      <c r="U20" s="47"/>
      <c r="V20" s="2"/>
      <c r="W20" s="36"/>
      <c r="X20" s="36"/>
      <c r="Y20" s="36"/>
      <c r="Z20" s="37"/>
      <c r="AA20" s="38"/>
      <c r="AB20" s="39"/>
      <c r="AC20" s="39"/>
      <c r="AD20" s="48"/>
      <c r="AE20" s="28"/>
      <c r="AF20" s="28"/>
      <c r="AG20" s="28"/>
      <c r="AH20" s="28"/>
      <c r="AI20" s="37" t="n">
        <f aca="false">SUM(AF20,AH20)</f>
        <v>0</v>
      </c>
      <c r="AJ20" s="42"/>
      <c r="AK20" s="43" t="str">
        <f aca="false">IF(AND(T20&gt;=12,Z20&gt;=12,AI20&gt;=6),"да","нет")</f>
        <v>нет</v>
      </c>
      <c r="AL20" s="2"/>
      <c r="AM20" s="2"/>
      <c r="AN20" s="23" t="n">
        <f aca="false">SUM(T20,Z20,AB20,AC20,AI20,AM20,AL20)</f>
        <v>0</v>
      </c>
      <c r="AO20" s="29" t="str">
        <f aca="false">IF(AND(T20&gt;=12,Z20&gt;=12,AI20&gt;=6,AM20&gt;=24,AN20&gt;=60),"Зачет","Незачет")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100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9"/>
      <c r="O21" s="29"/>
      <c r="P21" s="29"/>
      <c r="Q21" s="30"/>
      <c r="R21" s="50"/>
      <c r="S21" s="36"/>
      <c r="T21" s="37"/>
      <c r="U21" s="47"/>
      <c r="V21" s="2"/>
      <c r="W21" s="36"/>
      <c r="X21" s="36"/>
      <c r="Y21" s="36"/>
      <c r="Z21" s="37"/>
      <c r="AA21" s="38"/>
      <c r="AB21" s="39"/>
      <c r="AC21" s="39"/>
      <c r="AD21" s="48"/>
      <c r="AE21" s="28"/>
      <c r="AF21" s="28"/>
      <c r="AG21" s="28"/>
      <c r="AH21" s="28"/>
      <c r="AI21" s="37" t="n">
        <f aca="false">SUM(AF21,AH21)</f>
        <v>0</v>
      </c>
      <c r="AJ21" s="42"/>
      <c r="AK21" s="43" t="str">
        <f aca="false">IF(AND(T21&gt;=12,Z21&gt;=12,AI21&gt;=6),"да","нет")</f>
        <v>нет</v>
      </c>
      <c r="AL21" s="2"/>
      <c r="AM21" s="2"/>
      <c r="AN21" s="23" t="n">
        <f aca="false">SUM(T21,Z21,AB21,AC21,AI21,AM21,AL21)</f>
        <v>0</v>
      </c>
      <c r="AO21" s="29" t="str">
        <f aca="false">IF(AND(T21&gt;=12,Z21&gt;=12,AI21&gt;=6,AM21&gt;=24,AN21&gt;=60),"Зачет","Незачет")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29"/>
      <c r="P22" s="29"/>
      <c r="Q22" s="30"/>
      <c r="R22" s="50"/>
      <c r="S22" s="36"/>
      <c r="T22" s="37"/>
      <c r="U22" s="47"/>
      <c r="V22" s="2"/>
      <c r="W22" s="36"/>
      <c r="X22" s="36"/>
      <c r="Y22" s="36"/>
      <c r="Z22" s="37"/>
      <c r="AA22" s="38"/>
      <c r="AB22" s="39"/>
      <c r="AC22" s="39"/>
      <c r="AD22" s="48"/>
      <c r="AE22" s="28"/>
      <c r="AF22" s="28"/>
      <c r="AG22" s="28"/>
      <c r="AH22" s="28"/>
      <c r="AI22" s="37" t="n">
        <f aca="false">SUM(AF22,AH22)</f>
        <v>0</v>
      </c>
      <c r="AJ22" s="42"/>
      <c r="AK22" s="43" t="str">
        <f aca="false">IF(AND(T22&gt;=12,Z22&gt;=12,AI22&gt;=6),"да","нет")</f>
        <v>нет</v>
      </c>
      <c r="AL22" s="2"/>
      <c r="AM22" s="2"/>
      <c r="AN22" s="23" t="n">
        <f aca="false">SUM(T22,Z22,AB22,AC22,AI22,AM22,AL22)</f>
        <v>0</v>
      </c>
      <c r="AO22" s="29" t="str">
        <f aca="false">IF(AND(T22&gt;=12,Z22&gt;=12,AI22&gt;=6,AM22&gt;=24,AN22&gt;=60),"Зачет","Незачет")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8"/>
      <c r="N23" s="29"/>
      <c r="O23" s="29"/>
      <c r="P23" s="29"/>
      <c r="Q23" s="30"/>
      <c r="R23" s="50"/>
      <c r="S23" s="36"/>
      <c r="T23" s="37"/>
      <c r="U23" s="47"/>
      <c r="V23" s="2"/>
      <c r="W23" s="36"/>
      <c r="X23" s="36"/>
      <c r="Y23" s="36"/>
      <c r="Z23" s="37"/>
      <c r="AA23" s="38"/>
      <c r="AB23" s="39"/>
      <c r="AC23" s="39"/>
      <c r="AD23" s="48"/>
      <c r="AE23" s="28"/>
      <c r="AF23" s="28"/>
      <c r="AG23" s="28"/>
      <c r="AH23" s="28"/>
      <c r="AI23" s="28"/>
      <c r="AJ23" s="42"/>
      <c r="AK23" s="43"/>
      <c r="AL23" s="2"/>
      <c r="AM23" s="2"/>
      <c r="AN23" s="23"/>
      <c r="AO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3"/>
      <c r="AK24" s="47"/>
      <c r="AL24" s="47"/>
      <c r="AM24" s="47"/>
      <c r="AN24" s="47"/>
      <c r="AO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0</v>
      </c>
      <c r="G25" s="37" t="n">
        <f aca="false">COUNTIF(G$3:G$23, "~**")</f>
        <v>0</v>
      </c>
      <c r="H25" s="37" t="n">
        <f aca="false">COUNTIF(H$3:H$23, "~**")</f>
        <v>0</v>
      </c>
      <c r="I25" s="37" t="n">
        <f aca="false">COUNTIF(I$3:I$23, "~**")</f>
        <v>0</v>
      </c>
      <c r="J25" s="37" t="n">
        <f aca="false">COUNTIF(J$3:J$23, "~**")</f>
        <v>0</v>
      </c>
      <c r="K25" s="37" t="n">
        <f aca="false">COUNTIF(K$3:K$23, "~**")</f>
        <v>0</v>
      </c>
      <c r="L25" s="37" t="n">
        <f aca="false">COUNTIF(L$3:L$23, "~**")</f>
        <v>0</v>
      </c>
      <c r="M25" s="37"/>
      <c r="N25" s="54" t="n">
        <f aca="false">COUNTIF(N$3:N$23, "~**")</f>
        <v>0</v>
      </c>
      <c r="O25" s="54" t="n">
        <f aca="false">COUNTIF(O$3:O$23, "~**")</f>
        <v>0</v>
      </c>
      <c r="P25" s="54" t="n">
        <f aca="false">COUNTIF(P$3:P$23, "~**")</f>
        <v>0</v>
      </c>
      <c r="Q25" s="55"/>
      <c r="R25" s="2" t="s">
        <v>27</v>
      </c>
      <c r="S25" s="2"/>
      <c r="T25" s="37" t="n">
        <f aca="false">T26*0.6</f>
        <v>12</v>
      </c>
      <c r="U25" s="55"/>
      <c r="V25" s="37"/>
      <c r="W25" s="37"/>
      <c r="X25" s="37"/>
      <c r="Y25" s="37"/>
      <c r="Z25" s="37" t="n">
        <f aca="false">Z26*0.6</f>
        <v>12</v>
      </c>
      <c r="AA25" s="56"/>
      <c r="AB25" s="37" t="n">
        <v>0</v>
      </c>
      <c r="AC25" s="37" t="n">
        <v>0</v>
      </c>
      <c r="AD25" s="57"/>
      <c r="AF25" s="2" t="n">
        <v>3</v>
      </c>
      <c r="AH25" s="2" t="n">
        <v>3</v>
      </c>
      <c r="AI25" s="37" t="n">
        <v>6</v>
      </c>
      <c r="AJ25" s="58"/>
      <c r="AK25" s="59"/>
      <c r="AL25" s="37" t="n">
        <v>0</v>
      </c>
      <c r="AM25" s="37" t="n">
        <v>24</v>
      </c>
      <c r="AN25" s="19" t="n">
        <f aca="false">T25+Z25+AB25+AC25+AI25+AM25</f>
        <v>54</v>
      </c>
      <c r="AO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16</v>
      </c>
      <c r="F26" s="37" t="n">
        <f aca="false">COUNTIF(F$3:F$23, "~**")+COUNTIF(F$3:F$23, "Y")</f>
        <v>10</v>
      </c>
      <c r="G26" s="37" t="n">
        <f aca="false">COUNTIF(G$3:G$23, "~**")+COUNTIF(G$3:G$23, "Y")</f>
        <v>5</v>
      </c>
      <c r="H26" s="37" t="n">
        <f aca="false">COUNTIF(H$3:H$23, "~**")+COUNTIF(H$3:H$23, "Y")</f>
        <v>3</v>
      </c>
      <c r="I26" s="37" t="n">
        <f aca="false">COUNTIF(I$3:I$23, "~**")+COUNTIF(I$3:I$23, "Y")</f>
        <v>2</v>
      </c>
      <c r="J26" s="37" t="n">
        <f aca="false">COUNTIF(J$3:J$23, "~**")+COUNTIF(J$3:J$23, "Y")</f>
        <v>1</v>
      </c>
      <c r="K26" s="37" t="n">
        <f aca="false">COUNTIF(K$3:K$23, "~**")+COUNTIF(K$3:K$23, "Y")</f>
        <v>1</v>
      </c>
      <c r="L26" s="37" t="n">
        <f aca="false">COUNTIF(L$3:L$23, "~**")+COUNTIF(L$3:L$23, "Y")</f>
        <v>0</v>
      </c>
      <c r="M26" s="37"/>
      <c r="N26" s="54" t="n">
        <f aca="false">COUNTIF(N$3:N$23, "~**")+COUNTIF(N$3:N$23, "Y")</f>
        <v>0</v>
      </c>
      <c r="O26" s="54" t="n">
        <f aca="false">COUNTIF(O$3:O$23, "~**")+COUNTIF(O$3:O$23, "Y")</f>
        <v>0</v>
      </c>
      <c r="P26" s="54" t="n">
        <f aca="false">COUNTIF(P$3:P$23, "~**")+COUNTIF(P$3:P$23, "Y")</f>
        <v>0</v>
      </c>
      <c r="Q26" s="55"/>
      <c r="R26" s="2" t="s">
        <v>29</v>
      </c>
      <c r="S26" s="2"/>
      <c r="T26" s="37" t="n">
        <v>20</v>
      </c>
      <c r="U26" s="55"/>
      <c r="V26" s="37"/>
      <c r="W26" s="37"/>
      <c r="X26" s="37"/>
      <c r="Y26" s="37"/>
      <c r="Z26" s="37" t="n">
        <v>20</v>
      </c>
      <c r="AA26" s="56"/>
      <c r="AB26" s="37" t="n">
        <v>5</v>
      </c>
      <c r="AC26" s="37" t="n">
        <v>5</v>
      </c>
      <c r="AD26" s="57"/>
      <c r="AF26" s="2" t="n">
        <v>5</v>
      </c>
      <c r="AH26" s="2" t="n">
        <v>5</v>
      </c>
      <c r="AI26" s="37" t="n">
        <v>10</v>
      </c>
      <c r="AJ26" s="58"/>
      <c r="AK26" s="59"/>
      <c r="AL26" s="37" t="n">
        <v>3</v>
      </c>
      <c r="AM26" s="37" t="n">
        <v>40</v>
      </c>
      <c r="AN26" s="19" t="n">
        <f aca="false">SUM(T26,Z26,AB26:AC26,AI26,AL26:AM26,)</f>
        <v>103</v>
      </c>
      <c r="AO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47"/>
      <c r="R27" s="2"/>
      <c r="S27" s="2"/>
      <c r="T27" s="61"/>
      <c r="U27" s="62"/>
      <c r="V27" s="61"/>
      <c r="W27" s="61"/>
      <c r="X27" s="61"/>
      <c r="Y27" s="61"/>
      <c r="Z27" s="61"/>
      <c r="AA27" s="63"/>
      <c r="AB27" s="2"/>
      <c r="AC27" s="2"/>
      <c r="AD27" s="57"/>
      <c r="AI27" s="61"/>
      <c r="AJ27" s="64"/>
      <c r="AK27" s="65"/>
      <c r="AL27" s="2"/>
      <c r="AM27" s="2"/>
      <c r="AN27" s="66"/>
      <c r="AO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47"/>
      <c r="R28" s="2" t="s">
        <v>31</v>
      </c>
      <c r="S28" s="2"/>
      <c r="T28" s="61" t="n">
        <f aca="false">IFERROR(COUNTA(T$3:T23)/COUNTA($B$3:$B$23), 0)</f>
        <v>1</v>
      </c>
      <c r="U28" s="62"/>
      <c r="V28" s="61"/>
      <c r="W28" s="61"/>
      <c r="X28" s="61"/>
      <c r="Y28" s="61"/>
      <c r="Z28" s="61" t="n">
        <f aca="false">IFERROR(COUNTA(Z$3:Z23)/COUNTA($B$3:$B$23), 0)</f>
        <v>1</v>
      </c>
      <c r="AA28" s="63"/>
      <c r="AB28" s="2"/>
      <c r="AC28" s="2"/>
      <c r="AD28" s="57"/>
      <c r="AF28" s="61" t="n">
        <f aca="false">IFERROR(COUNTIF(AF$3:AF23, "&gt;0")/COUNTA($B$3:$B$22), 0)</f>
        <v>1</v>
      </c>
      <c r="AH28" s="61" t="n">
        <f aca="false">IFERROR(COUNTIF(AH$3:AH23, "&gt;0")/COUNTA($B$3:$B$22), 0)</f>
        <v>0</v>
      </c>
      <c r="AI28" s="61" t="n">
        <f aca="false">IFERROR(COUNTIF(AI$3:AI23, "&gt;0")/COUNTA($B$3:$B$22), 0)</f>
        <v>1</v>
      </c>
      <c r="AJ28" s="64"/>
      <c r="AK28" s="65"/>
      <c r="AL28" s="2"/>
      <c r="AM28" s="61" t="n">
        <f aca="false">IFERROR(COUNTIF(AM$3:AM23, "&gt;24")/COUNTA($B$3:$B$22), 0)</f>
        <v>1</v>
      </c>
      <c r="AN28" s="66"/>
      <c r="AO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47"/>
      <c r="R29" s="2"/>
      <c r="S29" s="2"/>
      <c r="T29" s="2"/>
      <c r="U29" s="47"/>
      <c r="V29" s="2"/>
      <c r="W29" s="2"/>
      <c r="X29" s="2"/>
      <c r="Y29" s="2"/>
      <c r="Z29" s="2"/>
      <c r="AA29" s="63"/>
      <c r="AB29" s="2"/>
      <c r="AC29" s="2"/>
      <c r="AD29" s="63"/>
      <c r="AE29" s="2"/>
      <c r="AF29" s="2"/>
      <c r="AG29" s="2"/>
      <c r="AH29" s="2"/>
      <c r="AI29" s="2"/>
      <c r="AJ29" s="64"/>
      <c r="AK29" s="65"/>
      <c r="AL29" s="2"/>
      <c r="AM29" s="2"/>
      <c r="AN29" s="66"/>
      <c r="AO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2"/>
      <c r="Q30" s="47"/>
      <c r="R30" s="2"/>
      <c r="S30" s="2"/>
      <c r="T30" s="2"/>
      <c r="U30" s="47"/>
      <c r="V30" s="2"/>
      <c r="W30" s="2"/>
      <c r="X30" s="2"/>
      <c r="Y30" s="2"/>
      <c r="Z30" s="2"/>
      <c r="AA30" s="63"/>
      <c r="AB30" s="2"/>
      <c r="AC30" s="2"/>
      <c r="AD30" s="63"/>
      <c r="AE30" s="2"/>
      <c r="AF30" s="2"/>
      <c r="AG30" s="2"/>
      <c r="AH30" s="2"/>
      <c r="AI30" s="2"/>
      <c r="AJ30" s="64"/>
      <c r="AK30" s="65"/>
      <c r="AL30" s="2"/>
      <c r="AM30" s="2"/>
      <c r="AN30" s="66"/>
      <c r="AO30" s="2"/>
    </row>
    <row r="31" customFormat="false" ht="15.75" hidden="false" customHeight="false" outlineLevel="0" collapsed="false">
      <c r="E31" s="2" t="s">
        <v>557</v>
      </c>
      <c r="Q31" s="68"/>
      <c r="U31" s="68"/>
      <c r="AA31" s="57"/>
      <c r="AD31" s="57"/>
      <c r="AJ31" s="69"/>
      <c r="AK31" s="70"/>
      <c r="AN31" s="71"/>
    </row>
    <row r="32" customFormat="false" ht="15.75" hidden="false" customHeight="false" outlineLevel="0" collapsed="false">
      <c r="Q32" s="68"/>
      <c r="U32" s="68"/>
      <c r="AA32" s="57"/>
      <c r="AD32" s="57"/>
      <c r="AJ32" s="69"/>
      <c r="AK32" s="70"/>
      <c r="AN32" s="71"/>
    </row>
    <row r="33" customFormat="false" ht="15.75" hidden="false" customHeight="false" outlineLevel="0" collapsed="false">
      <c r="Q33" s="68"/>
      <c r="U33" s="68"/>
      <c r="AA33" s="57"/>
      <c r="AD33" s="57"/>
      <c r="AJ33" s="69"/>
      <c r="AK33" s="70"/>
      <c r="AN33" s="71"/>
    </row>
  </sheetData>
  <mergeCells count="13">
    <mergeCell ref="A1:A2"/>
    <mergeCell ref="E1:P1"/>
    <mergeCell ref="R1:T1"/>
    <mergeCell ref="V1:Z1"/>
    <mergeCell ref="AB1:AB2"/>
    <mergeCell ref="AC1:AC2"/>
    <mergeCell ref="AE1:AF1"/>
    <mergeCell ref="AG1:AH1"/>
    <mergeCell ref="AI1:AI2"/>
    <mergeCell ref="AK1:AK2"/>
    <mergeCell ref="AL1:AL2"/>
    <mergeCell ref="AM1:AM2"/>
    <mergeCell ref="AN1:AO1"/>
  </mergeCells>
  <conditionalFormatting sqref="AJ3:AK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O3:AO23">
    <cfRule type="beginsWith" priority="4" operator="beginsWith" aboveAverage="0" equalAverage="0" bottom="0" percent="0" rank="0" text="зачет" dxfId="2">
      <formula>LEFT(AO3,LEN("зачет"))="зачет"</formula>
    </cfRule>
  </conditionalFormatting>
  <conditionalFormatting sqref="E3:M23">
    <cfRule type="cellIs" priority="5" operator="equal" aboveAverage="0" equalAverage="0" bottom="0" percent="0" rank="0" text="" dxfId="3">
      <formula>"N"</formula>
    </cfRule>
  </conditionalFormatting>
  <conditionalFormatting sqref="T3:T23 Z3:AC23 AI3:AI23 AL3:AM23">
    <cfRule type="containsText" priority="6" operator="containsText" aboveAverage="0" equalAverage="0" bottom="0" percent="0" rank="0" text="." dxfId="4">
      <formula>NOT(ISERROR(SEARCH(".",T3)))</formula>
    </cfRule>
  </conditionalFormatting>
  <conditionalFormatting sqref="S20:S23">
    <cfRule type="expression" priority="7" aboveAverage="0" equalAverage="0" bottom="0" percent="0" rank="0" text="" dxfId="5">
      <formula>S20&gt;45230</formula>
    </cfRule>
  </conditionalFormatting>
  <conditionalFormatting sqref="AD3:AD23 AF3:AH23 W20:Y23 AE20:AE23">
    <cfRule type="expression" priority="8" aboveAverage="0" equalAverage="0" bottom="0" percent="0" rank="0" text="" dxfId="5">
      <formula>AD3&gt;45291</formula>
    </cfRule>
  </conditionalFormatting>
  <conditionalFormatting sqref="S3:S19 W3:Y19">
    <cfRule type="expression" priority="9" aboveAverage="0" equalAverage="0" bottom="0" percent="0" rank="0" text="" dxfId="3">
      <formula>S3&gt;45658</formula>
    </cfRule>
  </conditionalFormatting>
  <conditionalFormatting sqref="AE3:AE19">
    <cfRule type="expression" priority="10" aboveAverage="0" equalAverage="0" bottom="0" percent="0" rank="0" text="" dxfId="3">
      <formula>AE3&gt;45689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34</v>
      </c>
      <c r="B1" s="2" t="s">
        <v>558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45195</v>
      </c>
      <c r="F2" s="15" t="n">
        <f aca="false">E2+14</f>
        <v>45209</v>
      </c>
      <c r="G2" s="15" t="n">
        <f aca="false">F2+14</f>
        <v>45223</v>
      </c>
      <c r="H2" s="15" t="n">
        <f aca="false">G2+14</f>
        <v>45237</v>
      </c>
      <c r="I2" s="15" t="n">
        <f aca="false">H2+14</f>
        <v>45251</v>
      </c>
      <c r="J2" s="15" t="n">
        <f aca="false">I2+14</f>
        <v>45265</v>
      </c>
      <c r="K2" s="15" t="n">
        <f aca="false">J2+14</f>
        <v>45279</v>
      </c>
      <c r="L2" s="15" t="n">
        <v>45640</v>
      </c>
      <c r="M2" s="16"/>
      <c r="N2" s="17"/>
      <c r="O2" s="17"/>
      <c r="P2" s="18"/>
      <c r="Q2" s="19" t="s">
        <v>17</v>
      </c>
      <c r="R2" s="20" t="s">
        <v>18</v>
      </c>
      <c r="S2" s="19" t="s">
        <v>19</v>
      </c>
      <c r="T2" s="6"/>
      <c r="U2" s="19" t="s">
        <v>17</v>
      </c>
      <c r="V2" s="19" t="s">
        <v>20</v>
      </c>
      <c r="W2" s="20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116</v>
      </c>
      <c r="C3" s="27" t="s">
        <v>117</v>
      </c>
      <c r="D3" s="27" t="n">
        <v>465224</v>
      </c>
      <c r="E3" s="28" t="s">
        <v>45</v>
      </c>
      <c r="F3" s="28" t="s">
        <v>45</v>
      </c>
      <c r="G3" s="28" t="s">
        <v>45</v>
      </c>
      <c r="H3" s="28" t="s">
        <v>518</v>
      </c>
      <c r="I3" s="28" t="s">
        <v>559</v>
      </c>
      <c r="J3" s="28" t="s">
        <v>518</v>
      </c>
      <c r="K3" s="28" t="s">
        <v>518</v>
      </c>
      <c r="L3" s="28" t="s">
        <v>518</v>
      </c>
      <c r="M3" s="29"/>
      <c r="N3" s="29"/>
      <c r="O3" s="29"/>
      <c r="P3" s="30"/>
      <c r="Q3" s="31" t="n">
        <v>11100</v>
      </c>
      <c r="R3" s="98" t="n">
        <v>45640</v>
      </c>
      <c r="S3" s="33" t="n">
        <v>19</v>
      </c>
      <c r="T3" s="34"/>
      <c r="U3" s="35" t="n">
        <v>56789</v>
      </c>
      <c r="V3" s="78" t="n">
        <v>45670</v>
      </c>
      <c r="W3" s="78" t="n">
        <v>45670</v>
      </c>
      <c r="X3" s="78" t="n">
        <v>45670</v>
      </c>
      <c r="Y3" s="2" t="n">
        <v>15</v>
      </c>
      <c r="Z3" s="38"/>
      <c r="AA3" s="39"/>
      <c r="AB3" s="39"/>
      <c r="AC3" s="40"/>
      <c r="AD3" s="41" t="n">
        <v>45670</v>
      </c>
      <c r="AE3" s="28" t="n">
        <v>4</v>
      </c>
      <c r="AF3" s="41" t="n">
        <v>45668</v>
      </c>
      <c r="AG3" s="28" t="n">
        <v>4</v>
      </c>
      <c r="AH3" s="37" t="n">
        <f aca="false">SUM(AE3,AG3)</f>
        <v>8</v>
      </c>
      <c r="AI3" s="42"/>
      <c r="AJ3" s="43" t="str">
        <f aca="false">IF(AND(S3&gt;=12,Y18&gt;=12,AH3&gt;=6),"да","нет")</f>
        <v>да</v>
      </c>
      <c r="AK3" s="2"/>
      <c r="AL3" s="2" t="n">
        <v>30</v>
      </c>
      <c r="AM3" s="23" t="n">
        <f aca="false">SUM(S3,Y18,AA3,AB3,AH3,AL3,AK3)</f>
        <v>72</v>
      </c>
      <c r="AN3" s="29" t="str">
        <f aca="false">IF(AND(S3&gt;=12,Y18&gt;=12,AH3&gt;=6,AL3&gt;=24,AM3&gt;=60),"Зачет","Незачет")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123</v>
      </c>
      <c r="C4" s="27" t="s">
        <v>117</v>
      </c>
      <c r="D4" s="27" t="n">
        <v>465244</v>
      </c>
      <c r="E4" s="28" t="s">
        <v>45</v>
      </c>
      <c r="F4" s="28" t="s">
        <v>559</v>
      </c>
      <c r="G4" s="28" t="s">
        <v>559</v>
      </c>
      <c r="H4" s="28" t="s">
        <v>559</v>
      </c>
      <c r="I4" s="28" t="s">
        <v>45</v>
      </c>
      <c r="J4" s="28" t="s">
        <v>559</v>
      </c>
      <c r="K4" s="28" t="s">
        <v>518</v>
      </c>
      <c r="L4" s="28" t="s">
        <v>559</v>
      </c>
      <c r="M4" s="29"/>
      <c r="N4" s="29"/>
      <c r="O4" s="29"/>
      <c r="P4" s="30"/>
      <c r="Q4" s="31" t="n">
        <v>11101</v>
      </c>
      <c r="R4" s="98" t="n">
        <v>45603</v>
      </c>
      <c r="S4" s="33" t="n">
        <v>20</v>
      </c>
      <c r="T4" s="34"/>
      <c r="U4" s="35" t="n">
        <v>57882</v>
      </c>
      <c r="V4" s="36" t="n">
        <v>45631</v>
      </c>
      <c r="W4" s="36" t="n">
        <v>45640</v>
      </c>
      <c r="X4" s="36" t="n">
        <v>45640</v>
      </c>
      <c r="Y4" s="37" t="n">
        <v>20</v>
      </c>
      <c r="Z4" s="38"/>
      <c r="AA4" s="39"/>
      <c r="AB4" s="39"/>
      <c r="AC4" s="40"/>
      <c r="AD4" s="41" t="n">
        <v>46012</v>
      </c>
      <c r="AE4" s="28" t="n">
        <v>5</v>
      </c>
      <c r="AF4" s="41" t="n">
        <v>46012</v>
      </c>
      <c r="AG4" s="28" t="n">
        <v>5</v>
      </c>
      <c r="AH4" s="37" t="n">
        <f aca="false">SUM(AE4,AG4)</f>
        <v>10</v>
      </c>
      <c r="AI4" s="42"/>
      <c r="AJ4" s="43" t="str">
        <f aca="false">IF(AND(S4&gt;=12,Y4&gt;=12,AH4&gt;=6),"да","нет")</f>
        <v>да</v>
      </c>
      <c r="AK4" s="2"/>
      <c r="AL4" s="2" t="n">
        <v>40</v>
      </c>
      <c r="AM4" s="23" t="n">
        <f aca="false">SUM(S4,Y4,AA4,AB4,AH4,AL4,AK4)</f>
        <v>90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128</v>
      </c>
      <c r="C5" s="27" t="s">
        <v>117</v>
      </c>
      <c r="D5" s="27" t="n">
        <v>465280</v>
      </c>
      <c r="E5" s="28" t="s">
        <v>45</v>
      </c>
      <c r="F5" s="28" t="s">
        <v>559</v>
      </c>
      <c r="G5" s="28" t="s">
        <v>45</v>
      </c>
      <c r="H5" s="28" t="s">
        <v>559</v>
      </c>
      <c r="I5" s="28" t="s">
        <v>559</v>
      </c>
      <c r="J5" s="28" t="s">
        <v>45</v>
      </c>
      <c r="K5" s="28" t="s">
        <v>518</v>
      </c>
      <c r="L5" s="28" t="s">
        <v>559</v>
      </c>
      <c r="M5" s="29"/>
      <c r="N5" s="29"/>
      <c r="O5" s="29"/>
      <c r="P5" s="30"/>
      <c r="Q5" s="31" t="n">
        <v>11102</v>
      </c>
      <c r="R5" s="98" t="n">
        <v>45617</v>
      </c>
      <c r="S5" s="33" t="n">
        <v>20</v>
      </c>
      <c r="T5" s="34"/>
      <c r="U5" s="35" t="n">
        <v>79832</v>
      </c>
      <c r="V5" s="36" t="n">
        <v>45601</v>
      </c>
      <c r="W5" s="36" t="n">
        <v>45640</v>
      </c>
      <c r="X5" s="36" t="n">
        <v>45640</v>
      </c>
      <c r="Y5" s="37" t="n">
        <v>20</v>
      </c>
      <c r="Z5" s="38"/>
      <c r="AA5" s="39"/>
      <c r="AB5" s="39"/>
      <c r="AC5" s="44"/>
      <c r="AD5" s="36" t="n">
        <v>46012</v>
      </c>
      <c r="AE5" s="28" t="n">
        <v>5</v>
      </c>
      <c r="AF5" s="36" t="n">
        <v>46012</v>
      </c>
      <c r="AG5" s="28" t="n">
        <v>5</v>
      </c>
      <c r="AH5" s="37" t="n">
        <f aca="false">SUM(AE5,AG5)</f>
        <v>10</v>
      </c>
      <c r="AI5" s="42"/>
      <c r="AJ5" s="43" t="str">
        <f aca="false">IF(AND(S5&gt;=12,Y5&gt;=12,AH5&gt;=6),"да","нет")</f>
        <v>да</v>
      </c>
      <c r="AK5" s="2"/>
      <c r="AL5" s="2" t="n">
        <v>40</v>
      </c>
      <c r="AM5" s="23" t="n">
        <f aca="false">SUM(S5,Y5,AA5,AB5,AH5,AL5,AK5)</f>
        <v>90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148</v>
      </c>
      <c r="C6" s="27" t="s">
        <v>117</v>
      </c>
      <c r="D6" s="27" t="n">
        <v>465487</v>
      </c>
      <c r="E6" s="28" t="s">
        <v>45</v>
      </c>
      <c r="F6" s="28" t="s">
        <v>559</v>
      </c>
      <c r="G6" s="28" t="s">
        <v>559</v>
      </c>
      <c r="H6" s="28" t="s">
        <v>518</v>
      </c>
      <c r="I6" s="28" t="s">
        <v>559</v>
      </c>
      <c r="J6" s="28" t="s">
        <v>518</v>
      </c>
      <c r="K6" s="28" t="s">
        <v>559</v>
      </c>
      <c r="L6" s="28" t="s">
        <v>518</v>
      </c>
      <c r="M6" s="29"/>
      <c r="N6" s="29"/>
      <c r="O6" s="29"/>
      <c r="P6" s="30"/>
      <c r="Q6" s="31" t="n">
        <v>11103</v>
      </c>
      <c r="R6" s="131" t="n">
        <v>45617</v>
      </c>
      <c r="S6" s="2" t="n">
        <v>20</v>
      </c>
      <c r="T6" s="34"/>
      <c r="U6" s="35" t="n">
        <v>65203</v>
      </c>
      <c r="V6" s="36" t="n">
        <v>45645</v>
      </c>
      <c r="W6" s="36" t="n">
        <v>45645</v>
      </c>
      <c r="X6" s="36" t="n">
        <v>45645</v>
      </c>
      <c r="Y6" s="37" t="n">
        <v>19</v>
      </c>
      <c r="Z6" s="38"/>
      <c r="AA6" s="39"/>
      <c r="AB6" s="39"/>
      <c r="AC6" s="44"/>
      <c r="AD6" s="41" t="n">
        <v>46012</v>
      </c>
      <c r="AE6" s="28" t="n">
        <v>5</v>
      </c>
      <c r="AF6" s="36" t="n">
        <v>45668</v>
      </c>
      <c r="AG6" s="28" t="n">
        <v>5</v>
      </c>
      <c r="AH6" s="37" t="n">
        <f aca="false">SUM(AE6,AG6)</f>
        <v>10</v>
      </c>
      <c r="AI6" s="42"/>
      <c r="AJ6" s="43" t="str">
        <f aca="false">IF(AND(R6&gt;=12,Y6&gt;=12,AH6&gt;=6),"да","нет")</f>
        <v>да</v>
      </c>
      <c r="AK6" s="2"/>
      <c r="AL6" s="2" t="n">
        <v>40</v>
      </c>
      <c r="AM6" s="23" t="n">
        <f aca="false">SUM(S6,Y6,AA6,AB6,AH6,AL6,AK6)</f>
        <v>89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166</v>
      </c>
      <c r="C7" s="27" t="s">
        <v>117</v>
      </c>
      <c r="D7" s="27" t="n">
        <v>465635</v>
      </c>
      <c r="E7" s="28" t="s">
        <v>45</v>
      </c>
      <c r="F7" s="28" t="s">
        <v>45</v>
      </c>
      <c r="G7" s="28" t="s">
        <v>45</v>
      </c>
      <c r="H7" s="28" t="s">
        <v>518</v>
      </c>
      <c r="I7" s="28" t="s">
        <v>45</v>
      </c>
      <c r="J7" s="28" t="s">
        <v>559</v>
      </c>
      <c r="K7" s="28" t="s">
        <v>45</v>
      </c>
      <c r="L7" s="28" t="s">
        <v>518</v>
      </c>
      <c r="M7" s="29"/>
      <c r="N7" s="29"/>
      <c r="O7" s="29"/>
      <c r="P7" s="30"/>
      <c r="Q7" s="31" t="n">
        <v>11104</v>
      </c>
      <c r="R7" s="98" t="n">
        <v>45631</v>
      </c>
      <c r="S7" s="33" t="n">
        <v>18</v>
      </c>
      <c r="T7" s="34"/>
      <c r="U7" s="35" t="n">
        <v>100500</v>
      </c>
      <c r="V7" s="36" t="n">
        <v>45631</v>
      </c>
      <c r="W7" s="36" t="n">
        <v>45652</v>
      </c>
      <c r="X7" s="36" t="n">
        <v>45652</v>
      </c>
      <c r="Y7" s="37" t="n">
        <v>19</v>
      </c>
      <c r="Z7" s="38"/>
      <c r="AA7" s="39"/>
      <c r="AB7" s="39"/>
      <c r="AC7" s="40"/>
      <c r="AD7" s="41" t="n">
        <v>46012</v>
      </c>
      <c r="AE7" s="28" t="n">
        <v>4</v>
      </c>
      <c r="AF7" s="41" t="n">
        <v>46012</v>
      </c>
      <c r="AG7" s="28" t="n">
        <v>4</v>
      </c>
      <c r="AH7" s="37" t="n">
        <f aca="false">SUM(AE7,AG7)</f>
        <v>8</v>
      </c>
      <c r="AI7" s="42"/>
      <c r="AJ7" s="43" t="str">
        <f aca="false">IF(AND(S7&gt;=12,Y7&gt;=12,AH7&gt;=6),"да","нет")</f>
        <v>да</v>
      </c>
      <c r="AK7" s="2"/>
      <c r="AL7" s="2" t="n">
        <v>35</v>
      </c>
      <c r="AM7" s="23" t="n">
        <f aca="false">SUM(S7,Y7,AA7,AB7,AH7,AL7,AK7)</f>
        <v>80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231</v>
      </c>
      <c r="C8" s="27" t="s">
        <v>117</v>
      </c>
      <c r="D8" s="27" t="n">
        <v>466200</v>
      </c>
      <c r="E8" s="28" t="s">
        <v>45</v>
      </c>
      <c r="F8" s="28" t="s">
        <v>518</v>
      </c>
      <c r="G8" s="28" t="s">
        <v>518</v>
      </c>
      <c r="H8" s="28" t="s">
        <v>518</v>
      </c>
      <c r="I8" s="28" t="s">
        <v>518</v>
      </c>
      <c r="J8" s="28" t="s">
        <v>559</v>
      </c>
      <c r="K8" s="28" t="s">
        <v>559</v>
      </c>
      <c r="L8" s="28" t="s">
        <v>518</v>
      </c>
      <c r="M8" s="29"/>
      <c r="N8" s="29"/>
      <c r="O8" s="29"/>
      <c r="P8" s="30"/>
      <c r="Q8" s="31" t="n">
        <v>11105</v>
      </c>
      <c r="R8" s="98" t="n">
        <v>45652</v>
      </c>
      <c r="S8" s="33" t="n">
        <v>16</v>
      </c>
      <c r="T8" s="34"/>
      <c r="U8" s="35" t="n">
        <v>34562</v>
      </c>
      <c r="V8" s="36" t="n">
        <v>45682</v>
      </c>
      <c r="W8" s="36" t="n">
        <v>45682</v>
      </c>
      <c r="X8" s="36" t="n">
        <v>45682</v>
      </c>
      <c r="Y8" s="37" t="n">
        <v>15</v>
      </c>
      <c r="Z8" s="38"/>
      <c r="AA8" s="39"/>
      <c r="AB8" s="39"/>
      <c r="AC8" s="40"/>
      <c r="AD8" s="41" t="n">
        <v>46012</v>
      </c>
      <c r="AE8" s="28" t="n">
        <v>4</v>
      </c>
      <c r="AF8" s="41" t="n">
        <v>45670</v>
      </c>
      <c r="AG8" s="28" t="n">
        <v>4</v>
      </c>
      <c r="AH8" s="37" t="n">
        <f aca="false">SUM(AE8,AG8)</f>
        <v>8</v>
      </c>
      <c r="AI8" s="42"/>
      <c r="AJ8" s="43" t="str">
        <f aca="false">IF(AND(S8&gt;=12,Y8&gt;=12,AH8&gt;=6),"да","нет")</f>
        <v>да</v>
      </c>
      <c r="AK8" s="2"/>
      <c r="AL8" s="2" t="n">
        <v>27</v>
      </c>
      <c r="AM8" s="23" t="n">
        <f aca="false">SUM(S8,Y8,AA8,AB8,AH8,AL8,AK8)</f>
        <v>66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284</v>
      </c>
      <c r="C9" s="27" t="s">
        <v>117</v>
      </c>
      <c r="D9" s="27" t="n">
        <v>466537</v>
      </c>
      <c r="E9" s="28" t="s">
        <v>45</v>
      </c>
      <c r="F9" s="28" t="s">
        <v>559</v>
      </c>
      <c r="G9" s="28" t="s">
        <v>518</v>
      </c>
      <c r="H9" s="28" t="s">
        <v>518</v>
      </c>
      <c r="I9" s="28" t="s">
        <v>559</v>
      </c>
      <c r="J9" s="28" t="s">
        <v>518</v>
      </c>
      <c r="K9" s="28" t="s">
        <v>559</v>
      </c>
      <c r="L9" s="28" t="s">
        <v>518</v>
      </c>
      <c r="M9" s="29"/>
      <c r="N9" s="29"/>
      <c r="O9" s="29"/>
      <c r="P9" s="30"/>
      <c r="Q9" s="31" t="n">
        <v>11106</v>
      </c>
      <c r="R9" s="98" t="n">
        <v>45617</v>
      </c>
      <c r="S9" s="33" t="n">
        <v>20</v>
      </c>
      <c r="T9" s="34"/>
      <c r="U9" s="35" t="n">
        <v>19294</v>
      </c>
      <c r="V9" s="36" t="n">
        <v>45645</v>
      </c>
      <c r="W9" s="41" t="n">
        <v>45652</v>
      </c>
      <c r="X9" s="36" t="n">
        <v>45652</v>
      </c>
      <c r="Y9" s="37" t="n">
        <v>19</v>
      </c>
      <c r="Z9" s="38"/>
      <c r="AA9" s="39"/>
      <c r="AB9" s="39"/>
      <c r="AC9" s="44"/>
      <c r="AD9" s="36" t="n">
        <v>46012</v>
      </c>
      <c r="AE9" s="28" t="n">
        <v>5</v>
      </c>
      <c r="AF9" s="36" t="n">
        <v>46012</v>
      </c>
      <c r="AG9" s="28" t="n">
        <v>5</v>
      </c>
      <c r="AH9" s="37" t="n">
        <f aca="false">SUM(AE9,AG9)</f>
        <v>10</v>
      </c>
      <c r="AI9" s="42"/>
      <c r="AJ9" s="43" t="str">
        <f aca="false">IF(AND(S9&gt;=12,Y9&gt;=12,AH9&gt;=6),"да","нет")</f>
        <v>да</v>
      </c>
      <c r="AK9" s="2"/>
      <c r="AL9" s="2" t="n">
        <v>40</v>
      </c>
      <c r="AM9" s="23" t="n">
        <f aca="false">SUM(S9,Y9,AA9,AB9,AH9,AL9,AK9)</f>
        <v>89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335</v>
      </c>
      <c r="C10" s="27" t="s">
        <v>117</v>
      </c>
      <c r="D10" s="27" t="n">
        <v>466912</v>
      </c>
      <c r="E10" s="28" t="s">
        <v>45</v>
      </c>
      <c r="F10" s="28" t="s">
        <v>518</v>
      </c>
      <c r="G10" s="28" t="s">
        <v>518</v>
      </c>
      <c r="H10" s="28" t="s">
        <v>518</v>
      </c>
      <c r="I10" s="28" t="s">
        <v>518</v>
      </c>
      <c r="J10" s="28" t="s">
        <v>559</v>
      </c>
      <c r="K10" s="28" t="s">
        <v>518</v>
      </c>
      <c r="L10" s="28" t="s">
        <v>518</v>
      </c>
      <c r="M10" s="29"/>
      <c r="N10" s="29"/>
      <c r="O10" s="29"/>
      <c r="P10" s="30"/>
      <c r="Q10" s="31" t="n">
        <v>11107</v>
      </c>
      <c r="R10" s="98" t="s">
        <v>34</v>
      </c>
      <c r="S10" s="33"/>
      <c r="T10" s="34"/>
      <c r="U10" s="35"/>
      <c r="V10" s="36"/>
      <c r="W10" s="36"/>
      <c r="X10" s="36"/>
      <c r="Y10" s="37"/>
      <c r="Z10" s="38"/>
      <c r="AA10" s="39"/>
      <c r="AB10" s="39"/>
      <c r="AC10" s="40"/>
      <c r="AD10" s="41" t="n">
        <v>46012</v>
      </c>
      <c r="AE10" s="28" t="n">
        <v>0</v>
      </c>
      <c r="AF10" s="41"/>
      <c r="AG10" s="28"/>
      <c r="AH10" s="37" t="n">
        <f aca="false">SUM(AE10,AG10)</f>
        <v>0</v>
      </c>
      <c r="AI10" s="42"/>
      <c r="AJ10" s="43" t="str">
        <f aca="false">IF(AND(S10&gt;=12,Y10&gt;=12,AH10&gt;=6),"да","нет")</f>
        <v>нет</v>
      </c>
      <c r="AK10" s="2"/>
      <c r="AL10" s="2"/>
      <c r="AM10" s="23" t="n">
        <f aca="false">SUM(S10,Y10,AA10,AB10,AH10,AL10,AK10)</f>
        <v>0</v>
      </c>
      <c r="AN10" s="29" t="str">
        <f aca="false">IF(AND(S10&gt;=12,Y10&gt;=12,AH10&gt;=6,AL10&gt;=24,AM10&gt;=60),"Зачет","Незачет")</f>
        <v>Незачет</v>
      </c>
    </row>
    <row r="11" customFormat="false" ht="15.75" hidden="false" customHeight="false" outlineLevel="0" collapsed="false">
      <c r="A11" s="25" t="n">
        <v>9</v>
      </c>
      <c r="B11" s="26" t="s">
        <v>346</v>
      </c>
      <c r="C11" s="27" t="s">
        <v>117</v>
      </c>
      <c r="D11" s="27" t="n">
        <v>409297</v>
      </c>
      <c r="E11" s="28" t="s">
        <v>518</v>
      </c>
      <c r="F11" s="28" t="s">
        <v>518</v>
      </c>
      <c r="G11" s="28" t="s">
        <v>518</v>
      </c>
      <c r="H11" s="28" t="s">
        <v>518</v>
      </c>
      <c r="I11" s="28" t="s">
        <v>518</v>
      </c>
      <c r="J11" s="28" t="s">
        <v>518</v>
      </c>
      <c r="K11" s="28" t="s">
        <v>518</v>
      </c>
      <c r="L11" s="28" t="s">
        <v>518</v>
      </c>
      <c r="M11" s="29"/>
      <c r="N11" s="29"/>
      <c r="O11" s="29"/>
      <c r="P11" s="30"/>
      <c r="Q11" s="31" t="n">
        <v>11108</v>
      </c>
      <c r="R11" s="132"/>
      <c r="S11" s="33"/>
      <c r="T11" s="34"/>
      <c r="V11" s="36"/>
      <c r="W11" s="36"/>
      <c r="X11" s="36"/>
      <c r="Y11" s="37"/>
      <c r="Z11" s="38"/>
      <c r="AA11" s="39"/>
      <c r="AB11" s="39"/>
      <c r="AC11" s="40"/>
      <c r="AD11" s="41"/>
      <c r="AE11" s="28"/>
      <c r="AF11" s="41"/>
      <c r="AG11" s="28"/>
      <c r="AH11" s="37" t="n">
        <f aca="false">SUM(AE11,AG11)</f>
        <v>0</v>
      </c>
      <c r="AI11" s="42"/>
      <c r="AJ11" s="43" t="str">
        <f aca="false">IF(AND(S11&gt;=12,Y11&gt;=12,AH11&gt;=6),"да","нет")</f>
        <v>нет</v>
      </c>
      <c r="AK11" s="2"/>
      <c r="AL11" s="2"/>
      <c r="AM11" s="23" t="n">
        <f aca="false">SUM(S11,Y11,AA11,AB11,AH11,AL11,AK11)</f>
        <v>0</v>
      </c>
      <c r="AN11" s="29" t="str">
        <f aca="false">IF(AND(S11&gt;=12,Y11&gt;=12,AH11&gt;=6,AL11&gt;=24,AM11&gt;=60),"Зачет","Незачет")</f>
        <v>Незачет</v>
      </c>
    </row>
    <row r="12" customFormat="false" ht="15.75" hidden="false" customHeight="false" outlineLevel="0" collapsed="false">
      <c r="A12" s="25" t="n">
        <v>10</v>
      </c>
      <c r="B12" s="26" t="s">
        <v>349</v>
      </c>
      <c r="C12" s="27" t="s">
        <v>117</v>
      </c>
      <c r="D12" s="27" t="n">
        <v>467037</v>
      </c>
      <c r="E12" s="28" t="s">
        <v>45</v>
      </c>
      <c r="F12" s="28" t="s">
        <v>518</v>
      </c>
      <c r="G12" s="28" t="s">
        <v>559</v>
      </c>
      <c r="H12" s="28" t="s">
        <v>559</v>
      </c>
      <c r="I12" s="28" t="s">
        <v>559</v>
      </c>
      <c r="J12" s="28" t="s">
        <v>559</v>
      </c>
      <c r="K12" s="28" t="s">
        <v>518</v>
      </c>
      <c r="L12" s="28" t="s">
        <v>559</v>
      </c>
      <c r="M12" s="29"/>
      <c r="N12" s="29"/>
      <c r="O12" s="29"/>
      <c r="P12" s="30"/>
      <c r="Q12" s="31" t="n">
        <v>11109</v>
      </c>
      <c r="R12" s="98" t="n">
        <v>45617</v>
      </c>
      <c r="S12" s="33" t="n">
        <v>20</v>
      </c>
      <c r="T12" s="34"/>
      <c r="U12" s="35" t="n">
        <v>112334</v>
      </c>
      <c r="V12" s="36" t="n">
        <v>45631</v>
      </c>
      <c r="W12" s="36" t="n">
        <v>45640</v>
      </c>
      <c r="X12" s="36" t="n">
        <v>45640</v>
      </c>
      <c r="Y12" s="37" t="n">
        <v>20</v>
      </c>
      <c r="Z12" s="38"/>
      <c r="AA12" s="39"/>
      <c r="AB12" s="39"/>
      <c r="AC12" s="40"/>
      <c r="AD12" s="41" t="n">
        <v>46012</v>
      </c>
      <c r="AE12" s="28" t="n">
        <v>5</v>
      </c>
      <c r="AF12" s="41" t="n">
        <v>46012</v>
      </c>
      <c r="AG12" s="28" t="n">
        <v>5</v>
      </c>
      <c r="AH12" s="37" t="n">
        <f aca="false">SUM(AE12,AG12)</f>
        <v>10</v>
      </c>
      <c r="AI12" s="42"/>
      <c r="AJ12" s="43" t="str">
        <f aca="false">IF(AND(S12&gt;=12,Y12&gt;=12,AH12&gt;=6),"да","нет")</f>
        <v>да</v>
      </c>
      <c r="AK12" s="2"/>
      <c r="AL12" s="2" t="n">
        <v>40</v>
      </c>
      <c r="AM12" s="23" t="n">
        <f aca="false">SUM(S12,Y12,AA12,AB12,AH12,AL12,AK12)</f>
        <v>90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351</v>
      </c>
      <c r="C13" s="27" t="s">
        <v>117</v>
      </c>
      <c r="D13" s="27" t="n">
        <v>467072</v>
      </c>
      <c r="E13" s="28" t="s">
        <v>45</v>
      </c>
      <c r="F13" s="28" t="s">
        <v>518</v>
      </c>
      <c r="G13" s="28" t="s">
        <v>559</v>
      </c>
      <c r="H13" s="28" t="s">
        <v>560</v>
      </c>
      <c r="I13" s="28" t="s">
        <v>518</v>
      </c>
      <c r="J13" s="28" t="s">
        <v>559</v>
      </c>
      <c r="K13" s="28" t="s">
        <v>518</v>
      </c>
      <c r="L13" s="28" t="s">
        <v>559</v>
      </c>
      <c r="M13" s="29"/>
      <c r="N13" s="29"/>
      <c r="O13" s="29"/>
      <c r="P13" s="30"/>
      <c r="Q13" s="31" t="n">
        <v>11110</v>
      </c>
      <c r="R13" s="98" t="n">
        <v>45603</v>
      </c>
      <c r="S13" s="33" t="n">
        <v>20</v>
      </c>
      <c r="T13" s="34"/>
      <c r="U13" s="35" t="n">
        <v>98734</v>
      </c>
      <c r="V13" s="36" t="n">
        <v>45631</v>
      </c>
      <c r="W13" s="36" t="n">
        <v>45640</v>
      </c>
      <c r="X13" s="36" t="n">
        <v>45640</v>
      </c>
      <c r="Y13" s="37" t="n">
        <v>20</v>
      </c>
      <c r="Z13" s="38"/>
      <c r="AA13" s="39"/>
      <c r="AB13" s="39"/>
      <c r="AC13" s="40"/>
      <c r="AD13" s="41" t="n">
        <v>46012</v>
      </c>
      <c r="AE13" s="28" t="n">
        <v>5</v>
      </c>
      <c r="AF13" s="41" t="n">
        <v>46012</v>
      </c>
      <c r="AG13" s="28" t="n">
        <v>5</v>
      </c>
      <c r="AH13" s="37" t="n">
        <f aca="false">SUM(AE13,AG13)</f>
        <v>10</v>
      </c>
      <c r="AI13" s="42"/>
      <c r="AJ13" s="43" t="str">
        <f aca="false">IF(AND(S13&gt;=12,Y13&gt;=12,AH13&gt;=6),"да","нет")</f>
        <v>да</v>
      </c>
      <c r="AK13" s="2"/>
      <c r="AL13" s="2" t="n">
        <v>40</v>
      </c>
      <c r="AM13" s="23" t="n">
        <f aca="false">SUM(S13,Y13,AA13,AB13,AH13,AL13,AK13)</f>
        <v>90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403</v>
      </c>
      <c r="C14" s="27" t="s">
        <v>117</v>
      </c>
      <c r="D14" s="27" t="n">
        <v>472464</v>
      </c>
      <c r="E14" s="28" t="s">
        <v>45</v>
      </c>
      <c r="F14" s="28" t="s">
        <v>518</v>
      </c>
      <c r="G14" s="28" t="s">
        <v>518</v>
      </c>
      <c r="H14" s="28" t="s">
        <v>45</v>
      </c>
      <c r="I14" s="28" t="s">
        <v>518</v>
      </c>
      <c r="J14" s="28" t="s">
        <v>518</v>
      </c>
      <c r="K14" s="28" t="s">
        <v>518</v>
      </c>
      <c r="L14" s="28" t="s">
        <v>518</v>
      </c>
      <c r="M14" s="29"/>
      <c r="N14" s="29"/>
      <c r="O14" s="29"/>
      <c r="P14" s="30"/>
      <c r="Q14" s="31" t="n">
        <v>11111</v>
      </c>
      <c r="R14" s="98" t="n">
        <v>45682</v>
      </c>
      <c r="S14" s="33" t="n">
        <v>16</v>
      </c>
      <c r="T14" s="34"/>
      <c r="U14" s="35" t="n">
        <v>1337</v>
      </c>
      <c r="V14" s="36" t="n">
        <v>45687</v>
      </c>
      <c r="W14" s="36" t="n">
        <v>45687</v>
      </c>
      <c r="X14" s="36" t="n">
        <v>45687</v>
      </c>
      <c r="Y14" s="37" t="n">
        <v>14</v>
      </c>
      <c r="Z14" s="38"/>
      <c r="AA14" s="39"/>
      <c r="AB14" s="39"/>
      <c r="AC14" s="40"/>
      <c r="AD14" s="41" t="n">
        <v>46012</v>
      </c>
      <c r="AE14" s="28" t="n">
        <v>4</v>
      </c>
      <c r="AF14" s="41" t="n">
        <v>45670</v>
      </c>
      <c r="AG14" s="28" t="n">
        <v>4</v>
      </c>
      <c r="AH14" s="37" t="n">
        <f aca="false">SUM(AE14,AG14)</f>
        <v>8</v>
      </c>
      <c r="AI14" s="42"/>
      <c r="AJ14" s="43" t="str">
        <f aca="false">IF(AND(S14&gt;=12,Y14&gt;=12,AH14&gt;=6),"да","нет")</f>
        <v>да</v>
      </c>
      <c r="AK14" s="2"/>
      <c r="AL14" s="2" t="n">
        <v>24</v>
      </c>
      <c r="AM14" s="23" t="n">
        <f aca="false">SUM(S14,Y14,AA14,AB14,AH14,AL14,AK14)</f>
        <v>62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406</v>
      </c>
      <c r="C15" s="27" t="s">
        <v>117</v>
      </c>
      <c r="D15" s="27" t="n">
        <v>467434</v>
      </c>
      <c r="E15" s="28" t="s">
        <v>45</v>
      </c>
      <c r="F15" s="28" t="s">
        <v>559</v>
      </c>
      <c r="G15" s="28" t="s">
        <v>45</v>
      </c>
      <c r="H15" s="28" t="s">
        <v>559</v>
      </c>
      <c r="I15" s="28" t="s">
        <v>559</v>
      </c>
      <c r="J15" s="28" t="s">
        <v>559</v>
      </c>
      <c r="K15" s="28" t="s">
        <v>518</v>
      </c>
      <c r="L15" s="28" t="s">
        <v>559</v>
      </c>
      <c r="M15" s="29"/>
      <c r="N15" s="29"/>
      <c r="O15" s="29"/>
      <c r="P15" s="30"/>
      <c r="Q15" s="31" t="n">
        <v>11112</v>
      </c>
      <c r="R15" s="98" t="n">
        <v>45617</v>
      </c>
      <c r="S15" s="33" t="n">
        <v>20</v>
      </c>
      <c r="T15" s="34"/>
      <c r="U15" s="35" t="n">
        <v>93135</v>
      </c>
      <c r="V15" s="36" t="n">
        <v>45631</v>
      </c>
      <c r="W15" s="36" t="n">
        <v>45640</v>
      </c>
      <c r="X15" s="36" t="n">
        <v>45640</v>
      </c>
      <c r="Y15" s="37" t="n">
        <v>20</v>
      </c>
      <c r="Z15" s="38"/>
      <c r="AA15" s="39"/>
      <c r="AB15" s="39"/>
      <c r="AC15" s="40"/>
      <c r="AD15" s="41" t="n">
        <v>46017</v>
      </c>
      <c r="AE15" s="28" t="n">
        <v>5</v>
      </c>
      <c r="AF15" s="41" t="n">
        <v>46017</v>
      </c>
      <c r="AG15" s="28" t="n">
        <v>5</v>
      </c>
      <c r="AH15" s="37" t="n">
        <f aca="false">SUM(AE15,AG15)</f>
        <v>10</v>
      </c>
      <c r="AI15" s="42"/>
      <c r="AJ15" s="43" t="str">
        <f aca="false">IF(AND(S15&gt;=12,Y15&gt;=12,AH15&gt;=6),"да","нет")</f>
        <v>да</v>
      </c>
      <c r="AK15" s="2"/>
      <c r="AL15" s="37" t="n">
        <v>40</v>
      </c>
      <c r="AM15" s="23" t="n">
        <f aca="false">SUM(S15,Y15,AA15,AB15,AH15,AL15,AK15)</f>
        <v>90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432</v>
      </c>
      <c r="C16" s="27" t="s">
        <v>117</v>
      </c>
      <c r="D16" s="27" t="n">
        <v>467604</v>
      </c>
      <c r="E16" s="28" t="s">
        <v>45</v>
      </c>
      <c r="F16" s="28" t="s">
        <v>518</v>
      </c>
      <c r="G16" s="28" t="s">
        <v>45</v>
      </c>
      <c r="H16" s="28" t="s">
        <v>559</v>
      </c>
      <c r="I16" s="28" t="s">
        <v>45</v>
      </c>
      <c r="J16" s="28" t="s">
        <v>45</v>
      </c>
      <c r="K16" s="28" t="s">
        <v>45</v>
      </c>
      <c r="L16" s="28" t="s">
        <v>518</v>
      </c>
      <c r="M16" s="29"/>
      <c r="N16" s="29"/>
      <c r="O16" s="29"/>
      <c r="P16" s="30"/>
      <c r="Q16" s="31" t="n">
        <v>11113</v>
      </c>
      <c r="R16" s="98" t="n">
        <v>45645</v>
      </c>
      <c r="S16" s="33" t="n">
        <v>19</v>
      </c>
      <c r="T16" s="34"/>
      <c r="U16" s="35" t="n">
        <v>32479</v>
      </c>
      <c r="V16" s="36" t="n">
        <v>46010</v>
      </c>
      <c r="W16" s="36" t="n">
        <v>45668</v>
      </c>
      <c r="X16" s="36" t="n">
        <v>45668</v>
      </c>
      <c r="Y16" s="37" t="n">
        <v>18</v>
      </c>
      <c r="Z16" s="38"/>
      <c r="AA16" s="39"/>
      <c r="AB16" s="39"/>
      <c r="AC16" s="40"/>
      <c r="AD16" s="41" t="n">
        <v>46012</v>
      </c>
      <c r="AE16" s="133" t="n">
        <v>4.5</v>
      </c>
      <c r="AF16" s="41" t="n">
        <v>46012</v>
      </c>
      <c r="AG16" s="133" t="n">
        <v>4.5</v>
      </c>
      <c r="AH16" s="134" t="n">
        <f aca="false">SUM(AE16,AG16)</f>
        <v>9</v>
      </c>
      <c r="AI16" s="42"/>
      <c r="AJ16" s="43" t="str">
        <f aca="false">IF(AND(S16&gt;=12,Y16&gt;=12,AH16&gt;=6),"да","нет")</f>
        <v>да</v>
      </c>
      <c r="AK16" s="2"/>
      <c r="AL16" s="2" t="n">
        <v>30</v>
      </c>
      <c r="AM16" s="23" t="n">
        <f aca="false">SUM(S16,Y16,AA16,AB16,AH16,AL16,AK16)</f>
        <v>76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481</v>
      </c>
      <c r="C17" s="27" t="s">
        <v>117</v>
      </c>
      <c r="D17" s="27" t="n">
        <v>467979</v>
      </c>
      <c r="E17" s="28" t="s">
        <v>45</v>
      </c>
      <c r="F17" s="28" t="s">
        <v>518</v>
      </c>
      <c r="G17" s="28" t="s">
        <v>45</v>
      </c>
      <c r="H17" s="28" t="s">
        <v>45</v>
      </c>
      <c r="I17" s="28" t="s">
        <v>518</v>
      </c>
      <c r="J17" s="28" t="s">
        <v>45</v>
      </c>
      <c r="K17" s="28" t="s">
        <v>45</v>
      </c>
      <c r="L17" s="28" t="s">
        <v>518</v>
      </c>
      <c r="M17" s="29"/>
      <c r="N17" s="29"/>
      <c r="O17" s="29"/>
      <c r="P17" s="30"/>
      <c r="Q17" s="31" t="n">
        <v>11114</v>
      </c>
      <c r="R17" s="98" t="n">
        <v>45645</v>
      </c>
      <c r="S17" s="33" t="n">
        <v>19</v>
      </c>
      <c r="T17" s="34"/>
      <c r="U17" s="35" t="n">
        <v>43289</v>
      </c>
      <c r="V17" s="41" t="n">
        <v>45652</v>
      </c>
      <c r="W17" s="36" t="n">
        <v>45652</v>
      </c>
      <c r="X17" s="36" t="n">
        <v>45652</v>
      </c>
      <c r="Y17" s="37" t="n">
        <v>17</v>
      </c>
      <c r="Z17" s="38"/>
      <c r="AA17" s="39"/>
      <c r="AB17" s="39"/>
      <c r="AC17" s="44"/>
      <c r="AD17" s="41" t="n">
        <v>46012</v>
      </c>
      <c r="AE17" s="28" t="n">
        <v>4.5</v>
      </c>
      <c r="AF17" s="41" t="n">
        <v>45668</v>
      </c>
      <c r="AG17" s="28" t="n">
        <v>4.5</v>
      </c>
      <c r="AH17" s="37" t="n">
        <f aca="false">SUM(AE17,AG17)</f>
        <v>9</v>
      </c>
      <c r="AI17" s="42"/>
      <c r="AJ17" s="43" t="str">
        <f aca="false">IF(AND(S17&gt;=12,Y17&gt;=12,AH17&gt;=6),"да","нет")</f>
        <v>да</v>
      </c>
      <c r="AK17" s="2"/>
      <c r="AL17" s="2" t="n">
        <v>30</v>
      </c>
      <c r="AM17" s="23" t="n">
        <f aca="false">SUM(S17,Y17,AA17,AB17,AH17,AL17,AK17)</f>
        <v>75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489</v>
      </c>
      <c r="C18" s="27" t="s">
        <v>117</v>
      </c>
      <c r="D18" s="27" t="n">
        <v>407960</v>
      </c>
      <c r="E18" s="28" t="s">
        <v>45</v>
      </c>
      <c r="F18" s="28" t="s">
        <v>518</v>
      </c>
      <c r="G18" s="28" t="s">
        <v>518</v>
      </c>
      <c r="H18" s="28" t="s">
        <v>518</v>
      </c>
      <c r="I18" s="28" t="s">
        <v>45</v>
      </c>
      <c r="J18" s="28" t="s">
        <v>45</v>
      </c>
      <c r="K18" s="28" t="s">
        <v>45</v>
      </c>
      <c r="L18" s="28" t="s">
        <v>518</v>
      </c>
      <c r="M18" s="29"/>
      <c r="N18" s="29"/>
      <c r="O18" s="29"/>
      <c r="P18" s="30"/>
      <c r="Q18" s="31" t="n">
        <v>11115</v>
      </c>
      <c r="R18" s="98" t="n">
        <v>45645</v>
      </c>
      <c r="S18" s="33" t="n">
        <v>18</v>
      </c>
      <c r="T18" s="34"/>
      <c r="U18" s="35" t="n">
        <v>32432</v>
      </c>
      <c r="V18" s="36" t="n">
        <v>46002</v>
      </c>
      <c r="W18" s="36" t="n">
        <v>46002</v>
      </c>
      <c r="X18" s="36" t="n">
        <v>46002</v>
      </c>
      <c r="Y18" s="37" t="n">
        <v>15</v>
      </c>
      <c r="Z18" s="38"/>
      <c r="AA18" s="39"/>
      <c r="AB18" s="39"/>
      <c r="AC18" s="40"/>
      <c r="AD18" s="41" t="n">
        <v>46012</v>
      </c>
      <c r="AE18" s="28" t="n">
        <v>4.5</v>
      </c>
      <c r="AF18" s="102" t="n">
        <v>45670</v>
      </c>
      <c r="AG18" s="28" t="n">
        <v>4.5</v>
      </c>
      <c r="AH18" s="37" t="n">
        <f aca="false">SUM(AE18,AG18)</f>
        <v>9</v>
      </c>
      <c r="AI18" s="42"/>
      <c r="AJ18" s="43" t="str">
        <f aca="false">IF(AND(S18&gt;=12,Y18&gt;=12,AH18&gt;=6),"да","нет")</f>
        <v>да</v>
      </c>
      <c r="AK18" s="2"/>
      <c r="AL18" s="2" t="n">
        <v>25</v>
      </c>
      <c r="AM18" s="23" t="n">
        <f aca="false">SUM(S18,Y18,AA18,AB18,AH18,AL18,AK18)</f>
        <v>67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490</v>
      </c>
      <c r="C19" s="27" t="s">
        <v>117</v>
      </c>
      <c r="D19" s="27" t="n">
        <v>468045</v>
      </c>
      <c r="E19" s="28" t="s">
        <v>45</v>
      </c>
      <c r="F19" s="28" t="s">
        <v>518</v>
      </c>
      <c r="G19" s="28" t="s">
        <v>559</v>
      </c>
      <c r="H19" s="28" t="s">
        <v>560</v>
      </c>
      <c r="I19" s="28" t="s">
        <v>518</v>
      </c>
      <c r="J19" s="28" t="s">
        <v>559</v>
      </c>
      <c r="K19" s="28" t="s">
        <v>45</v>
      </c>
      <c r="L19" s="28" t="s">
        <v>518</v>
      </c>
      <c r="M19" s="29"/>
      <c r="N19" s="29"/>
      <c r="O19" s="29"/>
      <c r="P19" s="30"/>
      <c r="Q19" s="31" t="n">
        <v>11116</v>
      </c>
      <c r="R19" s="98" t="n">
        <v>45603</v>
      </c>
      <c r="S19" s="33" t="n">
        <v>20</v>
      </c>
      <c r="T19" s="34"/>
      <c r="U19" s="35" t="n">
        <v>89342</v>
      </c>
      <c r="V19" s="36" t="n">
        <v>45631</v>
      </c>
      <c r="W19" s="36" t="n">
        <v>45645</v>
      </c>
      <c r="X19" s="36" t="n">
        <v>45645</v>
      </c>
      <c r="Y19" s="37" t="n">
        <v>20</v>
      </c>
      <c r="Z19" s="38"/>
      <c r="AA19" s="39"/>
      <c r="AB19" s="39"/>
      <c r="AC19" s="40"/>
      <c r="AD19" s="41" t="n">
        <v>46012</v>
      </c>
      <c r="AE19" s="28" t="n">
        <v>5</v>
      </c>
      <c r="AF19" s="41" t="n">
        <v>46012</v>
      </c>
      <c r="AG19" s="28" t="n">
        <v>5</v>
      </c>
      <c r="AH19" s="37" t="n">
        <f aca="false">SUM(AE19,AG19)</f>
        <v>10</v>
      </c>
      <c r="AI19" s="42"/>
      <c r="AJ19" s="43" t="str">
        <f aca="false">IF(AND(S19&gt;=12,Y19&gt;=12,AH19&gt;=6),"да","нет")</f>
        <v>да</v>
      </c>
      <c r="AK19" s="2"/>
      <c r="AL19" s="2" t="n">
        <v>40</v>
      </c>
      <c r="AM19" s="23" t="n">
        <f aca="false">SUM(S19,Y19,AA19,AB19,AH19,AL19,AK19)</f>
        <v>90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9"/>
      <c r="N20" s="29"/>
      <c r="O20" s="29"/>
      <c r="P20" s="30"/>
      <c r="Q20" s="46"/>
      <c r="R20" s="36"/>
      <c r="S20" s="37"/>
      <c r="T20" s="47"/>
      <c r="U20" s="2"/>
      <c r="V20" s="36"/>
      <c r="W20" s="36"/>
      <c r="X20" s="36"/>
      <c r="Y20" s="37"/>
      <c r="Z20" s="38"/>
      <c r="AA20" s="39"/>
      <c r="AB20" s="39"/>
      <c r="AC20" s="48"/>
      <c r="AD20" s="28"/>
      <c r="AE20" s="28"/>
      <c r="AF20" s="28"/>
      <c r="AG20" s="28"/>
      <c r="AH20" s="37" t="n">
        <f aca="false">SUM(AE20,AG20)</f>
        <v>0</v>
      </c>
      <c r="AI20" s="42"/>
      <c r="AJ20" s="43" t="s">
        <v>34</v>
      </c>
      <c r="AK20" s="2"/>
      <c r="AL20" s="2"/>
      <c r="AM20" s="23" t="n">
        <f aca="false">SUM(S20,Y20,AA20,AB20,AH20,AL20,AK20)</f>
        <v>0</v>
      </c>
      <c r="AN20" s="29" t="str">
        <f aca="false">IF(AND(S20&gt;=12,Y20&gt;=12,AH20&gt;=6,AL20&gt;=24,AM20&gt;=60),"Зачет","Незачет")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28"/>
      <c r="AH21" s="37" t="n">
        <f aca="false">SUM(AE21,AG21)</f>
        <v>0</v>
      </c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0</v>
      </c>
      <c r="G25" s="37" t="n">
        <f aca="false">COUNTIF(G$3:G$23, "~**")</f>
        <v>0</v>
      </c>
      <c r="H25" s="37" t="n">
        <f aca="false">COUNTIF(H$3:H$23, "~**")</f>
        <v>0</v>
      </c>
      <c r="I25" s="37" t="n">
        <f aca="false">COUNTIF(I$3:I$23, "~**")</f>
        <v>0</v>
      </c>
      <c r="J25" s="37" t="n">
        <f aca="false">COUNTIF(J$3:J$23, "~**")</f>
        <v>0</v>
      </c>
      <c r="K25" s="37" t="n">
        <f aca="false">COUNTIF(K$3:K$23, "~**")</f>
        <v>0</v>
      </c>
      <c r="L25" s="37" t="n">
        <f aca="false">COUNTIF(L$3:L$23, "~**")</f>
        <v>0</v>
      </c>
      <c r="M25" s="54" t="n">
        <f aca="false">COUNTIF(M$3:M$23, "~**")</f>
        <v>0</v>
      </c>
      <c r="N25" s="54" t="n">
        <f aca="false">COUNTIF(N$3:N$23, "~**")</f>
        <v>0</v>
      </c>
      <c r="O25" s="54" t="n">
        <f aca="false">COUNTIF(O$3:O$23, "~**")</f>
        <v>0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16</v>
      </c>
      <c r="F26" s="37" t="n">
        <f aca="false">COUNTIF(F$3:F$23, "~**")+COUNTIF(F$3:F$23, "Y")</f>
        <v>2</v>
      </c>
      <c r="G26" s="37" t="n">
        <f aca="false">COUNTIF(G$3:G$23, "~**")+COUNTIF(G$3:G$23, "Y")</f>
        <v>6</v>
      </c>
      <c r="H26" s="37" t="n">
        <f aca="false">COUNTIF(H$3:H$23, "~**")+COUNTIF(H$3:H$23, "Y")</f>
        <v>2</v>
      </c>
      <c r="I26" s="37" t="n">
        <f aca="false">COUNTIF(I$3:I$23, "~**")+COUNTIF(I$3:I$23, "Y")</f>
        <v>4</v>
      </c>
      <c r="J26" s="37" t="n">
        <f aca="false">COUNTIF(J$3:J$23, "~**")+COUNTIF(J$3:J$23, "Y")</f>
        <v>4</v>
      </c>
      <c r="K26" s="37" t="n">
        <f aca="false">COUNTIF(K$3:K$23, "~**")+COUNTIF(K$3:K$23, "Y")</f>
        <v>5</v>
      </c>
      <c r="L26" s="37" t="n">
        <f aca="false">COUNTIF(L$3:L$23, "~**")+COUNTIF(L$3:L$23, "Y")</f>
        <v>0</v>
      </c>
      <c r="M26" s="54" t="n">
        <f aca="false">COUNTIF(M$3:M$23, "~**")+COUNTIF(M$3:M$23, "Y")</f>
        <v>0</v>
      </c>
      <c r="N26" s="54" t="n">
        <f aca="false">COUNTIF(N$3:N$23, "~**")+COUNTIF(N$3:N$23, "Y")</f>
        <v>0</v>
      </c>
      <c r="O26" s="54" t="n">
        <f aca="false">COUNTIF(O$3:O$23, "~**")+COUNTIF(O$3:O$23, "Y")</f>
        <v>0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0.8823529412</v>
      </c>
      <c r="T28" s="62"/>
      <c r="U28" s="61"/>
      <c r="V28" s="61"/>
      <c r="W28" s="61"/>
      <c r="X28" s="61"/>
      <c r="Y28" s="61" t="n">
        <f aca="false">IFERROR(COUNTA(Y$4:Y23)/COUNTA($B$3:$B$23), 0)</f>
        <v>0.8235294118</v>
      </c>
      <c r="Z28" s="63"/>
      <c r="AA28" s="2"/>
      <c r="AB28" s="2"/>
      <c r="AC28" s="57"/>
      <c r="AE28" s="61" t="n">
        <f aca="false">IFERROR(COUNTIF(AE$3:AE23, "&gt;0")/COUNTA($B$3:$B$22), 0)</f>
        <v>0.8823529412</v>
      </c>
      <c r="AG28" s="61" t="n">
        <f aca="false">IFERROR(COUNTIF(AG$3:AG23, "&gt;0")/COUNTA($B$3:$B$22), 0)</f>
        <v>0.882352941176471</v>
      </c>
      <c r="AH28" s="61" t="n">
        <f aca="false">IFERROR(COUNTIF(AH$3:AH23, "&gt;0")/COUNTA($B$3:$B$22), 0)</f>
        <v>0.882352941176471</v>
      </c>
      <c r="AI28" s="64"/>
      <c r="AJ28" s="65"/>
      <c r="AK28" s="2"/>
      <c r="AL28" s="61" t="n">
        <f aca="false">IFERROR(COUNTIF(AL$3:AL23, "&gt;24")/COUNTA($B$3:$B$22), 0)</f>
        <v>0.8235294118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:S5 Y3:AB23 AH3:AH23 AK3:AL23 S7:S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5 R7:R23">
    <cfRule type="expression" priority="7" aboveAverage="0" equalAverage="0" bottom="0" percent="0" rank="0" text="" dxfId="5">
      <formula>R3&gt;45596</formula>
    </cfRule>
  </conditionalFormatting>
  <conditionalFormatting sqref="V3:X23 AC3:AG23">
    <cfRule type="expression" priority="8" aboveAverage="0" equalAverage="0" bottom="0" percent="0" rank="0" text="" dxfId="5">
      <formula>V3&gt;45657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outlinePr summaryBelow="0"/>
    <pageSetUpPr fitToPage="false"/>
  </sheetPr>
  <dimension ref="A1:A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6" min="5" style="0" width="3.38"/>
    <col collapsed="false" customWidth="true" hidden="false" outlineLevel="0" max="17" min="17" style="0" width="0.38"/>
    <col collapsed="false" customWidth="true" hidden="false" outlineLevel="0" max="18" min="18" style="0" width="5.75"/>
    <col collapsed="false" customWidth="true" hidden="false" outlineLevel="0" max="19" min="19" style="0" width="7.88"/>
    <col collapsed="false" customWidth="true" hidden="false" outlineLevel="0" max="20" min="20" style="0" width="4.38"/>
    <col collapsed="false" customWidth="true" hidden="false" outlineLevel="0" max="21" min="21" style="0" width="0.38"/>
    <col collapsed="false" customWidth="true" hidden="false" outlineLevel="0" max="22" min="22" style="0" width="6.63"/>
    <col collapsed="false" customWidth="true" hidden="false" outlineLevel="0" max="25" min="23" style="0" width="7.25"/>
    <col collapsed="false" customWidth="true" hidden="false" outlineLevel="0" max="26" min="26" style="0" width="4.38"/>
    <col collapsed="false" customWidth="true" hidden="false" outlineLevel="0" max="27" min="27" style="0" width="0.38"/>
    <col collapsed="false" customWidth="true" hidden="false" outlineLevel="0" max="28" min="28" style="0" width="4.38"/>
    <col collapsed="false" customWidth="true" hidden="false" outlineLevel="0" max="29" min="29" style="0" width="4.5"/>
    <col collapsed="false" customWidth="true" hidden="false" outlineLevel="0" max="30" min="30" style="0" width="0.38"/>
    <col collapsed="false" customWidth="true" hidden="false" outlineLevel="0" max="34" min="31" style="0" width="5.63"/>
    <col collapsed="false" customWidth="true" hidden="false" outlineLevel="0" max="35" min="35" style="0" width="4.38"/>
    <col collapsed="false" customWidth="true" hidden="false" outlineLevel="0" max="36" min="36" style="0" width="0.38"/>
    <col collapsed="false" customWidth="true" hidden="false" outlineLevel="0" max="37" min="37" style="0" width="7.63"/>
    <col collapsed="false" customWidth="true" hidden="false" outlineLevel="0" max="38" min="38" style="0" width="5.63"/>
    <col collapsed="false" customWidth="true" hidden="false" outlineLevel="0" max="39" min="39" style="0" width="7.12"/>
    <col collapsed="false" customWidth="true" hidden="false" outlineLevel="0" max="40" min="40" style="0" width="6.88"/>
    <col collapsed="false" customWidth="true" hidden="false" outlineLevel="0" max="41" min="41" style="0" width="7.5"/>
  </cols>
  <sheetData>
    <row r="1" customFormat="false" ht="15.75" hidden="false" customHeight="true" outlineLevel="0" collapsed="false">
      <c r="A1" s="1" t="s">
        <v>37</v>
      </c>
      <c r="B1" s="2" t="s">
        <v>550</v>
      </c>
      <c r="C1" s="3"/>
      <c r="D1" s="4" t="n">
        <f aca="false">COLUMNS(A2:AO2)-40</f>
        <v>1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5" t="s">
        <v>3</v>
      </c>
      <c r="S1" s="5"/>
      <c r="T1" s="5"/>
      <c r="U1" s="6"/>
      <c r="V1" s="5" t="s">
        <v>4</v>
      </c>
      <c r="W1" s="5"/>
      <c r="X1" s="5"/>
      <c r="Y1" s="5"/>
      <c r="Z1" s="5"/>
      <c r="AA1" s="7"/>
      <c r="AB1" s="8" t="s">
        <v>5</v>
      </c>
      <c r="AC1" s="8" t="s">
        <v>6</v>
      </c>
      <c r="AD1" s="7"/>
      <c r="AE1" s="8" t="s">
        <v>7</v>
      </c>
      <c r="AF1" s="8"/>
      <c r="AG1" s="8" t="s">
        <v>8</v>
      </c>
      <c r="AH1" s="8"/>
      <c r="AI1" s="1" t="s">
        <v>9</v>
      </c>
      <c r="AJ1" s="10"/>
      <c r="AK1" s="11" t="s">
        <v>10</v>
      </c>
      <c r="AL1" s="8" t="s">
        <v>11</v>
      </c>
      <c r="AM1" s="8" t="s">
        <v>12</v>
      </c>
      <c r="AN1" s="12" t="s">
        <v>13</v>
      </c>
      <c r="AO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45561</v>
      </c>
      <c r="F2" s="15" t="n">
        <f aca="false">E2+14</f>
        <v>45575</v>
      </c>
      <c r="G2" s="15" t="n">
        <f aca="false">F2+14</f>
        <v>45589</v>
      </c>
      <c r="H2" s="15" t="n">
        <f aca="false">G2+14</f>
        <v>45603</v>
      </c>
      <c r="I2" s="135" t="n">
        <f aca="false">H2+7</f>
        <v>45610</v>
      </c>
      <c r="J2" s="15" t="n">
        <f aca="false">H2+14</f>
        <v>45617</v>
      </c>
      <c r="K2" s="15" t="n">
        <f aca="false">J2+14</f>
        <v>45631</v>
      </c>
      <c r="L2" s="15" t="n">
        <f aca="false">K2+14</f>
        <v>45645</v>
      </c>
      <c r="M2" s="15"/>
      <c r="N2" s="16" t="n">
        <v>45698</v>
      </c>
      <c r="O2" s="17" t="n">
        <v>45701</v>
      </c>
      <c r="P2" s="17"/>
      <c r="Q2" s="18"/>
      <c r="R2" s="19" t="s">
        <v>17</v>
      </c>
      <c r="S2" s="20" t="s">
        <v>18</v>
      </c>
      <c r="T2" s="19" t="s">
        <v>19</v>
      </c>
      <c r="U2" s="6"/>
      <c r="V2" s="19" t="s">
        <v>17</v>
      </c>
      <c r="W2" s="19" t="s">
        <v>20</v>
      </c>
      <c r="X2" s="19" t="s">
        <v>21</v>
      </c>
      <c r="Y2" s="19" t="s">
        <v>18</v>
      </c>
      <c r="Z2" s="19" t="s">
        <v>19</v>
      </c>
      <c r="AA2" s="7"/>
      <c r="AB2" s="8"/>
      <c r="AC2" s="8"/>
      <c r="AD2" s="21"/>
      <c r="AE2" s="22" t="s">
        <v>22</v>
      </c>
      <c r="AF2" s="22" t="s">
        <v>23</v>
      </c>
      <c r="AG2" s="22" t="s">
        <v>22</v>
      </c>
      <c r="AH2" s="22" t="s">
        <v>23</v>
      </c>
      <c r="AI2" s="1"/>
      <c r="AJ2" s="10"/>
      <c r="AK2" s="11"/>
      <c r="AL2" s="11"/>
      <c r="AM2" s="11"/>
      <c r="AN2" s="23" t="s">
        <v>24</v>
      </c>
      <c r="AO2" s="24" t="s">
        <v>25</v>
      </c>
    </row>
    <row r="3" customFormat="false" ht="15.75" hidden="false" customHeight="false" outlineLevel="0" collapsed="false">
      <c r="A3" s="25" t="n">
        <v>1</v>
      </c>
      <c r="B3" s="26" t="s">
        <v>129</v>
      </c>
      <c r="C3" s="27" t="s">
        <v>130</v>
      </c>
      <c r="D3" s="27" t="n">
        <v>465294</v>
      </c>
      <c r="E3" s="28" t="s">
        <v>45</v>
      </c>
      <c r="F3" s="28" t="s">
        <v>45</v>
      </c>
      <c r="G3" s="28" t="s">
        <v>45</v>
      </c>
      <c r="H3" s="28" t="s">
        <v>45</v>
      </c>
      <c r="I3" s="28" t="s">
        <v>523</v>
      </c>
      <c r="J3" s="28" t="s">
        <v>523</v>
      </c>
      <c r="K3" s="28" t="s">
        <v>523</v>
      </c>
      <c r="L3" s="28" t="s">
        <v>523</v>
      </c>
      <c r="M3" s="28" t="s">
        <v>551</v>
      </c>
      <c r="N3" s="29" t="s">
        <v>551</v>
      </c>
      <c r="O3" s="29" t="s">
        <v>551</v>
      </c>
      <c r="P3" s="29"/>
      <c r="Q3" s="30"/>
      <c r="R3" s="31" t="n">
        <v>1700</v>
      </c>
      <c r="S3" s="28" t="s">
        <v>561</v>
      </c>
      <c r="T3" s="125" t="n">
        <v>18</v>
      </c>
      <c r="U3" s="34"/>
      <c r="V3" s="39" t="n">
        <v>1720</v>
      </c>
      <c r="W3" s="4" t="s">
        <v>562</v>
      </c>
      <c r="X3" s="136" t="n">
        <v>45645</v>
      </c>
      <c r="Y3" s="136" t="n">
        <v>45645</v>
      </c>
      <c r="Z3" s="128" t="n">
        <v>19</v>
      </c>
      <c r="AA3" s="38"/>
      <c r="AB3" s="39"/>
      <c r="AC3" s="39"/>
      <c r="AD3" s="40"/>
      <c r="AE3" s="104" t="n">
        <v>45702</v>
      </c>
      <c r="AF3" s="28" t="n">
        <v>6</v>
      </c>
      <c r="AG3" s="41"/>
      <c r="AH3" s="41"/>
      <c r="AI3" s="37" t="n">
        <f aca="false">SUM(AF3,AH3)</f>
        <v>6</v>
      </c>
      <c r="AJ3" s="42"/>
      <c r="AK3" s="43" t="str">
        <f aca="false">IF(AND(T3&gt;=12,Z3&gt;=12,AI3&gt;=6),"да","нет")</f>
        <v>да</v>
      </c>
      <c r="AL3" s="2"/>
      <c r="AM3" s="2" t="n">
        <v>30</v>
      </c>
      <c r="AN3" s="23" t="n">
        <f aca="false">SUM(T3,Z3,AB3,AC3,AI3,AM3,AL3)</f>
        <v>73</v>
      </c>
      <c r="AO3" s="29" t="str">
        <f aca="false">IF(AND(T3&gt;=12,Z3&gt;=12,AI3&gt;=6,AM3&gt;=24,AN3&gt;=60),"Зачет","Незачет")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147</v>
      </c>
      <c r="C4" s="27" t="s">
        <v>130</v>
      </c>
      <c r="D4" s="27" t="n">
        <v>465486</v>
      </c>
      <c r="E4" s="28" t="s">
        <v>45</v>
      </c>
      <c r="F4" s="28" t="s">
        <v>45</v>
      </c>
      <c r="G4" s="28" t="s">
        <v>518</v>
      </c>
      <c r="H4" s="28" t="s">
        <v>518</v>
      </c>
      <c r="I4" s="28" t="s">
        <v>518</v>
      </c>
      <c r="J4" s="28" t="s">
        <v>518</v>
      </c>
      <c r="K4" s="28" t="s">
        <v>518</v>
      </c>
      <c r="L4" s="28" t="s">
        <v>518</v>
      </c>
      <c r="M4" s="28" t="s">
        <v>551</v>
      </c>
      <c r="N4" s="29" t="s">
        <v>551</v>
      </c>
      <c r="O4" s="29" t="s">
        <v>551</v>
      </c>
      <c r="P4" s="29"/>
      <c r="Q4" s="30"/>
      <c r="R4" s="31" t="n">
        <v>1701</v>
      </c>
      <c r="S4" s="36"/>
      <c r="T4" s="125"/>
      <c r="U4" s="34"/>
      <c r="V4" s="39"/>
      <c r="W4" s="137"/>
      <c r="X4" s="137"/>
      <c r="Y4" s="137"/>
      <c r="Z4" s="128"/>
      <c r="AA4" s="38"/>
      <c r="AB4" s="39"/>
      <c r="AC4" s="39"/>
      <c r="AD4" s="40"/>
      <c r="AE4" s="129" t="n">
        <v>45647</v>
      </c>
      <c r="AF4" s="28" t="n">
        <v>0</v>
      </c>
      <c r="AG4" s="41"/>
      <c r="AH4" s="41"/>
      <c r="AI4" s="37" t="n">
        <f aca="false">SUM(AF4,AH4)</f>
        <v>0</v>
      </c>
      <c r="AJ4" s="42"/>
      <c r="AK4" s="43" t="str">
        <f aca="false">IF(AND(T4&gt;=12,Z4&gt;=12,AI4&gt;=6),"да","нет")</f>
        <v>нет</v>
      </c>
      <c r="AL4" s="2"/>
      <c r="AM4" s="2"/>
      <c r="AN4" s="23" t="n">
        <f aca="false">SUM(T4,Z4,AB4,AC4,AI4,AM4,AL4)</f>
        <v>0</v>
      </c>
      <c r="AO4" s="29" t="str">
        <f aca="false">IF(AND(T4&gt;=12,Z4&gt;=12,AI4&gt;=6,AM4&gt;=24,AN4&gt;=60),"Зачет","Незачет")</f>
        <v>Незачет</v>
      </c>
    </row>
    <row r="5" customFormat="false" ht="15.75" hidden="false" customHeight="false" outlineLevel="0" collapsed="false">
      <c r="A5" s="25" t="n">
        <v>3</v>
      </c>
      <c r="B5" s="26" t="s">
        <v>170</v>
      </c>
      <c r="C5" s="27" t="s">
        <v>130</v>
      </c>
      <c r="D5" s="27" t="n">
        <v>471872</v>
      </c>
      <c r="E5" s="28" t="s">
        <v>45</v>
      </c>
      <c r="F5" s="28" t="s">
        <v>518</v>
      </c>
      <c r="G5" s="28" t="s">
        <v>45</v>
      </c>
      <c r="H5" s="28" t="s">
        <v>523</v>
      </c>
      <c r="I5" s="28" t="s">
        <v>518</v>
      </c>
      <c r="J5" s="28" t="s">
        <v>518</v>
      </c>
      <c r="K5" s="28" t="s">
        <v>523</v>
      </c>
      <c r="L5" s="28" t="s">
        <v>518</v>
      </c>
      <c r="M5" s="28" t="s">
        <v>551</v>
      </c>
      <c r="N5" s="29" t="s">
        <v>523</v>
      </c>
      <c r="O5" s="29"/>
      <c r="P5" s="29"/>
      <c r="Q5" s="30"/>
      <c r="R5" s="31" t="n">
        <v>1702</v>
      </c>
      <c r="S5" s="138" t="n">
        <v>45698</v>
      </c>
      <c r="T5" s="125" t="n">
        <v>13</v>
      </c>
      <c r="U5" s="34"/>
      <c r="V5" s="39" t="n">
        <v>1702</v>
      </c>
      <c r="W5" s="127" t="n">
        <v>45707</v>
      </c>
      <c r="X5" s="127" t="n">
        <v>45707</v>
      </c>
      <c r="Y5" s="127" t="n">
        <v>45707</v>
      </c>
      <c r="Z5" s="128" t="n">
        <v>13</v>
      </c>
      <c r="AA5" s="38"/>
      <c r="AB5" s="39"/>
      <c r="AC5" s="39"/>
      <c r="AD5" s="44"/>
      <c r="AE5" s="104" t="n">
        <v>45702</v>
      </c>
      <c r="AF5" s="28" t="n">
        <v>6</v>
      </c>
      <c r="AG5" s="36"/>
      <c r="AH5" s="36"/>
      <c r="AI5" s="37" t="n">
        <f aca="false">SUM(AF5,AH5)</f>
        <v>6</v>
      </c>
      <c r="AJ5" s="42"/>
      <c r="AK5" s="43" t="str">
        <f aca="false">IF(AND(T5&gt;=12,Z5&gt;=12,AI5&gt;=6),"да","нет")</f>
        <v>да</v>
      </c>
      <c r="AL5" s="2"/>
      <c r="AM5" s="2" t="n">
        <v>30</v>
      </c>
      <c r="AN5" s="23" t="n">
        <f aca="false">SUM(T5,Z5,AB5,AC5,AI5,AM5,AL5)</f>
        <v>62</v>
      </c>
      <c r="AO5" s="29" t="str">
        <f aca="false">IF(AND(T5&gt;=12,Z5&gt;=12,AI5&gt;=6,AM5&gt;=24,AN5&gt;=60),"Зачет","Незачет")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196</v>
      </c>
      <c r="C6" s="27" t="s">
        <v>130</v>
      </c>
      <c r="D6" s="27" t="n">
        <v>465887</v>
      </c>
      <c r="E6" s="28" t="s">
        <v>45</v>
      </c>
      <c r="F6" s="28" t="s">
        <v>518</v>
      </c>
      <c r="G6" s="28" t="s">
        <v>45</v>
      </c>
      <c r="H6" s="28" t="s">
        <v>518</v>
      </c>
      <c r="I6" s="28" t="s">
        <v>523</v>
      </c>
      <c r="J6" s="28" t="s">
        <v>523</v>
      </c>
      <c r="K6" s="28" t="s">
        <v>523</v>
      </c>
      <c r="L6" s="28" t="s">
        <v>551</v>
      </c>
      <c r="M6" s="28" t="s">
        <v>551</v>
      </c>
      <c r="N6" s="29" t="s">
        <v>551</v>
      </c>
      <c r="O6" s="29" t="s">
        <v>551</v>
      </c>
      <c r="P6" s="29"/>
      <c r="Q6" s="30"/>
      <c r="R6" s="31" t="n">
        <v>1703</v>
      </c>
      <c r="S6" s="28" t="s">
        <v>561</v>
      </c>
      <c r="T6" s="125" t="n">
        <v>19</v>
      </c>
      <c r="U6" s="34"/>
      <c r="V6" s="39" t="n">
        <v>70345</v>
      </c>
      <c r="W6" s="4" t="s">
        <v>561</v>
      </c>
      <c r="X6" s="4" t="s">
        <v>562</v>
      </c>
      <c r="Y6" s="4" t="s">
        <v>562</v>
      </c>
      <c r="Z6" s="128" t="n">
        <v>18.5</v>
      </c>
      <c r="AA6" s="38"/>
      <c r="AB6" s="39"/>
      <c r="AC6" s="39"/>
      <c r="AD6" s="44"/>
      <c r="AE6" s="129" t="n">
        <v>45647</v>
      </c>
      <c r="AF6" s="28" t="n">
        <v>10</v>
      </c>
      <c r="AG6" s="36"/>
      <c r="AH6" s="36"/>
      <c r="AI6" s="37" t="n">
        <f aca="false">SUM(AF6,AH6)</f>
        <v>10</v>
      </c>
      <c r="AJ6" s="42"/>
      <c r="AK6" s="43" t="str">
        <f aca="false">IF(AND(T6&gt;=12,Z6&gt;=12,AI6&gt;=6),"да","нет")</f>
        <v>да</v>
      </c>
      <c r="AL6" s="2"/>
      <c r="AM6" s="2" t="n">
        <v>40</v>
      </c>
      <c r="AN6" s="23" t="n">
        <f aca="false">SUM(T6,Z6,AB6,AC6,AI6,AM6,AL6)</f>
        <v>87.5</v>
      </c>
      <c r="AO6" s="29" t="str">
        <f aca="false">IF(AND(T6&gt;=12,Z6&gt;=12,AI6&gt;=6,AM6&gt;=24,AN6&gt;=60),"Зачет","Незачет")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232</v>
      </c>
      <c r="C7" s="27" t="s">
        <v>130</v>
      </c>
      <c r="D7" s="27" t="n">
        <v>466207</v>
      </c>
      <c r="E7" s="28" t="s">
        <v>45</v>
      </c>
      <c r="F7" s="28" t="s">
        <v>45</v>
      </c>
      <c r="G7" s="28" t="s">
        <v>523</v>
      </c>
      <c r="H7" s="28" t="s">
        <v>523</v>
      </c>
      <c r="I7" s="28" t="s">
        <v>523</v>
      </c>
      <c r="J7" s="28" t="s">
        <v>523</v>
      </c>
      <c r="K7" s="28" t="s">
        <v>523</v>
      </c>
      <c r="L7" s="28" t="s">
        <v>551</v>
      </c>
      <c r="M7" s="28" t="s">
        <v>551</v>
      </c>
      <c r="N7" s="29" t="s">
        <v>551</v>
      </c>
      <c r="O7" s="29" t="s">
        <v>551</v>
      </c>
      <c r="P7" s="29"/>
      <c r="Q7" s="30"/>
      <c r="R7" s="31" t="n">
        <v>1704</v>
      </c>
      <c r="S7" s="28" t="s">
        <v>563</v>
      </c>
      <c r="T7" s="125" t="n">
        <v>19</v>
      </c>
      <c r="U7" s="34"/>
      <c r="V7" s="39" t="n">
        <v>17045</v>
      </c>
      <c r="W7" s="4" t="s">
        <v>561</v>
      </c>
      <c r="X7" s="4" t="s">
        <v>562</v>
      </c>
      <c r="Y7" s="4" t="s">
        <v>562</v>
      </c>
      <c r="Z7" s="128" t="n">
        <v>18.5</v>
      </c>
      <c r="AA7" s="38"/>
      <c r="AB7" s="39"/>
      <c r="AC7" s="39"/>
      <c r="AD7" s="40"/>
      <c r="AE7" s="104" t="n">
        <v>45652</v>
      </c>
      <c r="AF7" s="28" t="n">
        <v>6</v>
      </c>
      <c r="AG7" s="41"/>
      <c r="AH7" s="41"/>
      <c r="AI7" s="37" t="n">
        <f aca="false">SUM(AF7,AH7)</f>
        <v>6</v>
      </c>
      <c r="AJ7" s="42"/>
      <c r="AK7" s="43" t="str">
        <f aca="false">IF(AND(T7&gt;=12,Z7&gt;=12,AI7&gt;=6),"да","нет")</f>
        <v>да</v>
      </c>
      <c r="AL7" s="2"/>
      <c r="AM7" s="2" t="n">
        <v>35</v>
      </c>
      <c r="AN7" s="23" t="n">
        <f aca="false">SUM(T7,Z7,AB7,AC7,AI7,AM7,AL7)</f>
        <v>78.5</v>
      </c>
      <c r="AO7" s="29" t="str">
        <f aca="false">IF(AND(T7&gt;=12,Z7&gt;=12,AI7&gt;=6,AM7&gt;=24,AN7&gt;=60),"Зачет","Незачет")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130" t="s">
        <v>256</v>
      </c>
      <c r="C8" s="27" t="s">
        <v>130</v>
      </c>
      <c r="D8" s="27" t="n">
        <v>466380</v>
      </c>
      <c r="E8" s="28" t="s">
        <v>45</v>
      </c>
      <c r="F8" s="28" t="s">
        <v>45</v>
      </c>
      <c r="G8" s="28" t="s">
        <v>523</v>
      </c>
      <c r="H8" s="28" t="s">
        <v>523</v>
      </c>
      <c r="I8" s="28" t="s">
        <v>518</v>
      </c>
      <c r="J8" s="28" t="s">
        <v>523</v>
      </c>
      <c r="K8" s="28" t="s">
        <v>523</v>
      </c>
      <c r="L8" s="28" t="s">
        <v>523</v>
      </c>
      <c r="M8" s="28" t="s">
        <v>551</v>
      </c>
      <c r="N8" s="29" t="s">
        <v>551</v>
      </c>
      <c r="O8" s="29" t="s">
        <v>551</v>
      </c>
      <c r="P8" s="29"/>
      <c r="Q8" s="30"/>
      <c r="R8" s="31" t="n">
        <v>1705</v>
      </c>
      <c r="S8" s="28" t="s">
        <v>564</v>
      </c>
      <c r="T8" s="125" t="n">
        <v>18</v>
      </c>
      <c r="U8" s="34"/>
      <c r="V8" s="39" t="n">
        <v>17052</v>
      </c>
      <c r="W8" s="4" t="s">
        <v>561</v>
      </c>
      <c r="X8" s="4" t="s">
        <v>562</v>
      </c>
      <c r="Y8" s="136" t="n">
        <v>45645</v>
      </c>
      <c r="Z8" s="128" t="n">
        <v>18.5</v>
      </c>
      <c r="AA8" s="38"/>
      <c r="AB8" s="39"/>
      <c r="AC8" s="39"/>
      <c r="AD8" s="40"/>
      <c r="AE8" s="129" t="n">
        <v>45647</v>
      </c>
      <c r="AF8" s="28" t="n">
        <v>8</v>
      </c>
      <c r="AG8" s="41"/>
      <c r="AH8" s="41"/>
      <c r="AI8" s="37" t="n">
        <f aca="false">SUM(AF8,AH8)</f>
        <v>8</v>
      </c>
      <c r="AJ8" s="42"/>
      <c r="AK8" s="43" t="str">
        <f aca="false">IF(AND(T8&gt;=12,Z8&gt;=12,AI8&gt;=6),"да","нет")</f>
        <v>да</v>
      </c>
      <c r="AL8" s="2"/>
      <c r="AM8" s="2" t="n">
        <v>40</v>
      </c>
      <c r="AN8" s="23" t="n">
        <f aca="false">SUM(T8,Z8,AB8,AC8,AI8,AM8,AL8)</f>
        <v>84.5</v>
      </c>
      <c r="AO8" s="29" t="str">
        <f aca="false">IF(AND(T8&gt;=12,Z8&gt;=12,AI8&gt;=6,AM8&gt;=24,AN8&gt;=60),"Зачет","Незачет")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291</v>
      </c>
      <c r="C9" s="27" t="s">
        <v>130</v>
      </c>
      <c r="D9" s="27" t="n">
        <v>466593</v>
      </c>
      <c r="E9" s="28" t="s">
        <v>518</v>
      </c>
      <c r="F9" s="28" t="s">
        <v>518</v>
      </c>
      <c r="G9" s="28" t="s">
        <v>518</v>
      </c>
      <c r="H9" s="28" t="s">
        <v>518</v>
      </c>
      <c r="I9" s="28" t="s">
        <v>518</v>
      </c>
      <c r="J9" s="28" t="s">
        <v>518</v>
      </c>
      <c r="K9" s="28" t="s">
        <v>518</v>
      </c>
      <c r="L9" s="28" t="s">
        <v>523</v>
      </c>
      <c r="M9" s="28" t="s">
        <v>551</v>
      </c>
      <c r="N9" s="29" t="s">
        <v>523</v>
      </c>
      <c r="O9" s="29"/>
      <c r="P9" s="29"/>
      <c r="Q9" s="30"/>
      <c r="R9" s="31" t="n">
        <v>1706</v>
      </c>
      <c r="S9" s="36" t="n">
        <v>45698</v>
      </c>
      <c r="T9" s="125" t="n">
        <v>12</v>
      </c>
      <c r="U9" s="34"/>
      <c r="V9" s="39" t="n">
        <v>17069</v>
      </c>
      <c r="W9" s="127" t="n">
        <v>45707</v>
      </c>
      <c r="X9" s="127" t="n">
        <v>45707</v>
      </c>
      <c r="Y9" s="127" t="n">
        <v>45707</v>
      </c>
      <c r="Z9" s="128" t="n">
        <v>13</v>
      </c>
      <c r="AA9" s="38"/>
      <c r="AB9" s="39"/>
      <c r="AC9" s="39"/>
      <c r="AD9" s="44"/>
      <c r="AE9" s="129" t="n">
        <v>45647</v>
      </c>
      <c r="AF9" s="28" t="n">
        <v>9</v>
      </c>
      <c r="AG9" s="36"/>
      <c r="AH9" s="36"/>
      <c r="AI9" s="37" t="n">
        <f aca="false">SUM(AF9,AH9)</f>
        <v>9</v>
      </c>
      <c r="AJ9" s="42"/>
      <c r="AK9" s="43" t="str">
        <f aca="false">IF(AND(T9&gt;=12,Z9&gt;=12,AI9&gt;=6),"да","нет")</f>
        <v>да</v>
      </c>
      <c r="AL9" s="2"/>
      <c r="AM9" s="2" t="n">
        <v>30</v>
      </c>
      <c r="AN9" s="23" t="n">
        <f aca="false">SUM(T9,Z9,AB9,AC9,AI9,AM9,AL9)</f>
        <v>64</v>
      </c>
      <c r="AO9" s="29" t="str">
        <f aca="false">IF(AND(T9&gt;=12,Z9&gt;=12,AI9&gt;=6,AM9&gt;=24,AN9&gt;=60),"Зачет","Незачет")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296</v>
      </c>
      <c r="C10" s="27" t="s">
        <v>130</v>
      </c>
      <c r="D10" s="27" t="n">
        <v>409086</v>
      </c>
      <c r="E10" s="28" t="s">
        <v>518</v>
      </c>
      <c r="F10" s="28" t="s">
        <v>518</v>
      </c>
      <c r="G10" s="28" t="s">
        <v>45</v>
      </c>
      <c r="H10" s="28" t="s">
        <v>523</v>
      </c>
      <c r="I10" s="28" t="s">
        <v>523</v>
      </c>
      <c r="J10" s="28" t="s">
        <v>523</v>
      </c>
      <c r="K10" s="28" t="s">
        <v>523</v>
      </c>
      <c r="L10" s="28" t="s">
        <v>551</v>
      </c>
      <c r="M10" s="28" t="s">
        <v>551</v>
      </c>
      <c r="N10" s="29" t="s">
        <v>551</v>
      </c>
      <c r="O10" s="29" t="s">
        <v>551</v>
      </c>
      <c r="P10" s="29"/>
      <c r="Q10" s="30"/>
      <c r="R10" s="31" t="n">
        <v>1707</v>
      </c>
      <c r="S10" s="28" t="s">
        <v>563</v>
      </c>
      <c r="T10" s="125" t="n">
        <v>19</v>
      </c>
      <c r="U10" s="34"/>
      <c r="V10" s="39" t="n">
        <v>17077</v>
      </c>
      <c r="W10" s="4" t="s">
        <v>561</v>
      </c>
      <c r="X10" s="4" t="s">
        <v>562</v>
      </c>
      <c r="Y10" s="4" t="s">
        <v>562</v>
      </c>
      <c r="Z10" s="128" t="n">
        <v>19.8</v>
      </c>
      <c r="AA10" s="38"/>
      <c r="AB10" s="39"/>
      <c r="AC10" s="39"/>
      <c r="AD10" s="40"/>
      <c r="AE10" s="129" t="n">
        <v>45647</v>
      </c>
      <c r="AF10" s="28" t="n">
        <v>10</v>
      </c>
      <c r="AG10" s="41"/>
      <c r="AH10" s="41"/>
      <c r="AI10" s="37" t="n">
        <f aca="false">SUM(AF10,AH10)</f>
        <v>10</v>
      </c>
      <c r="AJ10" s="42"/>
      <c r="AK10" s="43" t="str">
        <f aca="false">IF(AND(T10&gt;=12,Z10&gt;=12,AI10&gt;=6),"да","нет")</f>
        <v>да</v>
      </c>
      <c r="AL10" s="2"/>
      <c r="AM10" s="2" t="n">
        <v>40</v>
      </c>
      <c r="AN10" s="23" t="n">
        <f aca="false">SUM(T10,Z10,AB10,AC10,AI10,AM10,AL10)</f>
        <v>88.8</v>
      </c>
      <c r="AO10" s="29" t="str">
        <f aca="false">IF(AND(T10&gt;=12,Z10&gt;=12,AI10&gt;=6,AM10&gt;=24,AN10&gt;=60),"Зачет","Незачет")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320</v>
      </c>
      <c r="C11" s="27" t="s">
        <v>130</v>
      </c>
      <c r="D11" s="27" t="n">
        <v>466823</v>
      </c>
      <c r="E11" s="28" t="s">
        <v>45</v>
      </c>
      <c r="F11" s="28" t="s">
        <v>45</v>
      </c>
      <c r="G11" s="28" t="s">
        <v>523</v>
      </c>
      <c r="H11" s="28" t="s">
        <v>523</v>
      </c>
      <c r="I11" s="28" t="s">
        <v>523</v>
      </c>
      <c r="J11" s="28" t="s">
        <v>523</v>
      </c>
      <c r="K11" s="28" t="s">
        <v>523</v>
      </c>
      <c r="L11" s="28" t="s">
        <v>523</v>
      </c>
      <c r="M11" s="28" t="s">
        <v>551</v>
      </c>
      <c r="N11" s="29" t="s">
        <v>551</v>
      </c>
      <c r="O11" s="29" t="s">
        <v>551</v>
      </c>
      <c r="P11" s="29"/>
      <c r="Q11" s="30"/>
      <c r="R11" s="31" t="n">
        <v>1708</v>
      </c>
      <c r="S11" s="28" t="s">
        <v>563</v>
      </c>
      <c r="T11" s="125" t="n">
        <v>19</v>
      </c>
      <c r="U11" s="34"/>
      <c r="V11" s="39" t="n">
        <v>17089</v>
      </c>
      <c r="W11" s="4" t="s">
        <v>561</v>
      </c>
      <c r="X11" s="4" t="s">
        <v>562</v>
      </c>
      <c r="Y11" s="136" t="n">
        <v>45645</v>
      </c>
      <c r="Z11" s="128" t="n">
        <v>18.5</v>
      </c>
      <c r="AA11" s="38"/>
      <c r="AB11" s="39"/>
      <c r="AC11" s="39"/>
      <c r="AD11" s="40"/>
      <c r="AE11" s="104" t="n">
        <v>45649</v>
      </c>
      <c r="AF11" s="28" t="n">
        <v>9.5</v>
      </c>
      <c r="AG11" s="41"/>
      <c r="AH11" s="41"/>
      <c r="AI11" s="37" t="n">
        <f aca="false">SUM(AF11,AH11)</f>
        <v>9.5</v>
      </c>
      <c r="AJ11" s="42"/>
      <c r="AK11" s="43" t="str">
        <f aca="false">IF(AND(T11&gt;=12,Z11&gt;=12,AI11&gt;=6),"да","нет")</f>
        <v>да</v>
      </c>
      <c r="AL11" s="2"/>
      <c r="AM11" s="2" t="n">
        <v>40</v>
      </c>
      <c r="AN11" s="23" t="n">
        <f aca="false">SUM(T11,Z11,AB11,AC11,AI11,AM11,AL11)</f>
        <v>87</v>
      </c>
      <c r="AO11" s="29" t="str">
        <f aca="false">IF(AND(T11&gt;=12,Z11&gt;=12,AI11&gt;=6,AM11&gt;=24,AN11&gt;=60),"Зачет","Незачет")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336</v>
      </c>
      <c r="C12" s="27" t="s">
        <v>130</v>
      </c>
      <c r="D12" s="27" t="n">
        <v>466930</v>
      </c>
      <c r="E12" s="28" t="s">
        <v>45</v>
      </c>
      <c r="F12" s="28" t="s">
        <v>45</v>
      </c>
      <c r="G12" s="28" t="s">
        <v>45</v>
      </c>
      <c r="H12" s="28" t="s">
        <v>518</v>
      </c>
      <c r="I12" s="28" t="s">
        <v>518</v>
      </c>
      <c r="J12" s="28" t="s">
        <v>523</v>
      </c>
      <c r="K12" s="28" t="s">
        <v>523</v>
      </c>
      <c r="L12" s="28" t="s">
        <v>523</v>
      </c>
      <c r="M12" s="28" t="s">
        <v>551</v>
      </c>
      <c r="N12" s="29" t="s">
        <v>523</v>
      </c>
      <c r="O12" s="29" t="s">
        <v>523</v>
      </c>
      <c r="P12" s="29"/>
      <c r="Q12" s="30"/>
      <c r="R12" s="31" t="n">
        <v>1709</v>
      </c>
      <c r="S12" s="139" t="n">
        <v>45698</v>
      </c>
      <c r="T12" s="125" t="n">
        <v>13</v>
      </c>
      <c r="U12" s="34"/>
      <c r="V12" s="39" t="n">
        <v>17099</v>
      </c>
      <c r="W12" s="127" t="n">
        <v>45701</v>
      </c>
      <c r="X12" s="127" t="n">
        <v>45701</v>
      </c>
      <c r="Y12" s="127" t="n">
        <v>45701</v>
      </c>
      <c r="Z12" s="128" t="n">
        <v>13</v>
      </c>
      <c r="AA12" s="38"/>
      <c r="AB12" s="39"/>
      <c r="AC12" s="39"/>
      <c r="AD12" s="40"/>
      <c r="AE12" s="104" t="n">
        <v>45702</v>
      </c>
      <c r="AF12" s="28" t="n">
        <v>6</v>
      </c>
      <c r="AG12" s="41"/>
      <c r="AH12" s="41"/>
      <c r="AI12" s="37" t="n">
        <f aca="false">SUM(AF12,AH12)</f>
        <v>6</v>
      </c>
      <c r="AJ12" s="42"/>
      <c r="AK12" s="43" t="str">
        <f aca="false">IF(AND(T12&gt;=12,Z12&gt;=12,AI12&gt;=6),"да","нет")</f>
        <v>да</v>
      </c>
      <c r="AL12" s="2"/>
      <c r="AM12" s="2" t="n">
        <v>32</v>
      </c>
      <c r="AN12" s="23" t="n">
        <f aca="false">SUM(T12,Z12,AB12,AC12,AI12,AM12,AL12)</f>
        <v>64</v>
      </c>
      <c r="AO12" s="29" t="str">
        <f aca="false">IF(AND(T12&gt;=12,Z12&gt;=12,AI12&gt;=6,AM12&gt;=24,AN12&gt;=60),"Зачет","Незачет")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344</v>
      </c>
      <c r="C13" s="27" t="s">
        <v>130</v>
      </c>
      <c r="D13" s="27" t="n">
        <v>466985</v>
      </c>
      <c r="E13" s="28" t="s">
        <v>45</v>
      </c>
      <c r="F13" s="28" t="s">
        <v>45</v>
      </c>
      <c r="G13" s="28" t="s">
        <v>45</v>
      </c>
      <c r="H13" s="28" t="s">
        <v>523</v>
      </c>
      <c r="I13" s="28" t="s">
        <v>523</v>
      </c>
      <c r="J13" s="28" t="s">
        <v>523</v>
      </c>
      <c r="K13" s="28" t="s">
        <v>523</v>
      </c>
      <c r="L13" s="28" t="s">
        <v>551</v>
      </c>
      <c r="M13" s="28" t="s">
        <v>551</v>
      </c>
      <c r="N13" s="29" t="s">
        <v>551</v>
      </c>
      <c r="O13" s="29" t="s">
        <v>551</v>
      </c>
      <c r="P13" s="29"/>
      <c r="Q13" s="30"/>
      <c r="R13" s="31" t="n">
        <v>1710</v>
      </c>
      <c r="S13" s="28" t="s">
        <v>561</v>
      </c>
      <c r="T13" s="125" t="n">
        <v>19</v>
      </c>
      <c r="U13" s="34"/>
      <c r="V13" s="39" t="n">
        <v>17102</v>
      </c>
      <c r="W13" s="4" t="s">
        <v>561</v>
      </c>
      <c r="X13" s="4" t="s">
        <v>562</v>
      </c>
      <c r="Y13" s="4" t="s">
        <v>562</v>
      </c>
      <c r="Z13" s="128" t="n">
        <v>19</v>
      </c>
      <c r="AA13" s="38"/>
      <c r="AB13" s="39"/>
      <c r="AC13" s="39"/>
      <c r="AD13" s="40"/>
      <c r="AE13" s="129" t="n">
        <v>45647</v>
      </c>
      <c r="AF13" s="28" t="n">
        <v>10</v>
      </c>
      <c r="AG13" s="41"/>
      <c r="AH13" s="41"/>
      <c r="AI13" s="37" t="n">
        <f aca="false">SUM(AF13,AH13)</f>
        <v>10</v>
      </c>
      <c r="AJ13" s="42"/>
      <c r="AK13" s="43" t="str">
        <f aca="false">IF(AND(T13&gt;=12,Z13&gt;=12,AI13&gt;=6),"да","нет")</f>
        <v>да</v>
      </c>
      <c r="AL13" s="2"/>
      <c r="AM13" s="2" t="n">
        <v>40</v>
      </c>
      <c r="AN13" s="23" t="n">
        <f aca="false">SUM(T13,Z13,AB13,AC13,AI13,AM13,AL13)</f>
        <v>88</v>
      </c>
      <c r="AO13" s="29" t="str">
        <f aca="false">IF(AND(T13&gt;=12,Z13&gt;=12,AI13&gt;=6,AM13&gt;=24,AN13&gt;=60),"Зачет","Незачет")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395</v>
      </c>
      <c r="C14" s="27" t="s">
        <v>130</v>
      </c>
      <c r="D14" s="27" t="n">
        <v>467353</v>
      </c>
      <c r="E14" s="28" t="s">
        <v>45</v>
      </c>
      <c r="F14" s="28" t="s">
        <v>45</v>
      </c>
      <c r="G14" s="28" t="s">
        <v>523</v>
      </c>
      <c r="H14" s="28" t="s">
        <v>523</v>
      </c>
      <c r="I14" s="28" t="s">
        <v>518</v>
      </c>
      <c r="J14" s="28" t="s">
        <v>523</v>
      </c>
      <c r="K14" s="28" t="s">
        <v>523</v>
      </c>
      <c r="L14" s="28" t="s">
        <v>551</v>
      </c>
      <c r="M14" s="28" t="s">
        <v>551</v>
      </c>
      <c r="N14" s="29" t="s">
        <v>551</v>
      </c>
      <c r="O14" s="29" t="s">
        <v>551</v>
      </c>
      <c r="P14" s="29"/>
      <c r="Q14" s="30"/>
      <c r="R14" s="31" t="n">
        <v>1711</v>
      </c>
      <c r="S14" s="28" t="s">
        <v>564</v>
      </c>
      <c r="T14" s="125" t="n">
        <v>19.6</v>
      </c>
      <c r="U14" s="34"/>
      <c r="V14" s="39" t="n">
        <v>17112</v>
      </c>
      <c r="W14" s="4" t="s">
        <v>561</v>
      </c>
      <c r="X14" s="4" t="s">
        <v>562</v>
      </c>
      <c r="Y14" s="4" t="s">
        <v>562</v>
      </c>
      <c r="Z14" s="128" t="n">
        <v>19</v>
      </c>
      <c r="AA14" s="38"/>
      <c r="AB14" s="39"/>
      <c r="AC14" s="39"/>
      <c r="AD14" s="40"/>
      <c r="AE14" s="104" t="n">
        <v>45652</v>
      </c>
      <c r="AF14" s="28" t="n">
        <v>6</v>
      </c>
      <c r="AG14" s="41"/>
      <c r="AH14" s="41"/>
      <c r="AI14" s="37" t="n">
        <f aca="false">SUM(AF14,AH14)</f>
        <v>6</v>
      </c>
      <c r="AJ14" s="42"/>
      <c r="AK14" s="43" t="str">
        <f aca="false">IF(AND(T14&gt;=12,Z14&gt;=12,AI14&gt;=6),"да","нет")</f>
        <v>да</v>
      </c>
      <c r="AL14" s="2"/>
      <c r="AM14" s="2" t="n">
        <v>24</v>
      </c>
      <c r="AN14" s="23" t="n">
        <f aca="false">SUM(T14,Z14,AB14,AC14,AI14,AM14,AL14)</f>
        <v>68.6</v>
      </c>
      <c r="AO14" s="29" t="str">
        <f aca="false">IF(AND(T14&gt;=12,Z14&gt;=12,AI14&gt;=6,AM14&gt;=24,AN14&gt;=60),"Зачет","Незачет")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410</v>
      </c>
      <c r="C15" s="27" t="s">
        <v>130</v>
      </c>
      <c r="D15" s="27" t="n">
        <v>467467</v>
      </c>
      <c r="E15" s="28" t="s">
        <v>45</v>
      </c>
      <c r="F15" s="28" t="s">
        <v>45</v>
      </c>
      <c r="G15" s="28" t="s">
        <v>523</v>
      </c>
      <c r="H15" s="28" t="s">
        <v>523</v>
      </c>
      <c r="I15" s="28" t="s">
        <v>523</v>
      </c>
      <c r="J15" s="28" t="s">
        <v>523</v>
      </c>
      <c r="K15" s="28" t="s">
        <v>551</v>
      </c>
      <c r="L15" s="28" t="s">
        <v>551</v>
      </c>
      <c r="M15" s="28" t="s">
        <v>551</v>
      </c>
      <c r="N15" s="29" t="s">
        <v>551</v>
      </c>
      <c r="O15" s="29" t="s">
        <v>551</v>
      </c>
      <c r="P15" s="29"/>
      <c r="Q15" s="30"/>
      <c r="R15" s="31" t="n">
        <v>1712</v>
      </c>
      <c r="S15" s="28" t="s">
        <v>564</v>
      </c>
      <c r="T15" s="125" t="n">
        <v>19</v>
      </c>
      <c r="U15" s="34"/>
      <c r="V15" s="39" t="n">
        <v>17121</v>
      </c>
      <c r="W15" s="4" t="s">
        <v>565</v>
      </c>
      <c r="X15" s="4" t="s">
        <v>561</v>
      </c>
      <c r="Y15" s="4" t="s">
        <v>561</v>
      </c>
      <c r="Z15" s="128" t="n">
        <v>20</v>
      </c>
      <c r="AA15" s="38"/>
      <c r="AB15" s="39"/>
      <c r="AC15" s="39"/>
      <c r="AD15" s="40"/>
      <c r="AE15" s="129" t="n">
        <v>45647</v>
      </c>
      <c r="AF15" s="28" t="n">
        <v>6</v>
      </c>
      <c r="AG15" s="41"/>
      <c r="AH15" s="41"/>
      <c r="AI15" s="37" t="n">
        <f aca="false">SUM(AF15,AH15)</f>
        <v>6</v>
      </c>
      <c r="AJ15" s="42"/>
      <c r="AK15" s="43" t="str">
        <f aca="false">IF(AND(T15&gt;=12,Z15&gt;=12,AI15&gt;=6),"да","нет")</f>
        <v>да</v>
      </c>
      <c r="AL15" s="2"/>
      <c r="AM15" s="37" t="n">
        <v>40</v>
      </c>
      <c r="AN15" s="23" t="n">
        <f aca="false">SUM(T15,Z15,AB15,AC15,AI15,AM15,AL15)</f>
        <v>85</v>
      </c>
      <c r="AO15" s="29" t="str">
        <f aca="false">IF(AND(T15&gt;=12,Z15&gt;=12,AI15&gt;=6,AM15&gt;=24,AN15&gt;=60),"Зачет","Незачет")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439</v>
      </c>
      <c r="C16" s="27" t="s">
        <v>130</v>
      </c>
      <c r="D16" s="27" t="n">
        <v>467647</v>
      </c>
      <c r="E16" s="28" t="s">
        <v>45</v>
      </c>
      <c r="F16" s="28" t="s">
        <v>45</v>
      </c>
      <c r="G16" s="28" t="s">
        <v>518</v>
      </c>
      <c r="H16" s="28" t="s">
        <v>45</v>
      </c>
      <c r="I16" s="28" t="s">
        <v>523</v>
      </c>
      <c r="J16" s="28" t="s">
        <v>523</v>
      </c>
      <c r="K16" s="28" t="s">
        <v>523</v>
      </c>
      <c r="L16" s="28" t="s">
        <v>518</v>
      </c>
      <c r="M16" s="28" t="s">
        <v>523</v>
      </c>
      <c r="N16" s="29" t="s">
        <v>523</v>
      </c>
      <c r="O16" s="29"/>
      <c r="P16" s="29"/>
      <c r="Q16" s="30"/>
      <c r="R16" s="31" t="n">
        <v>1713</v>
      </c>
      <c r="S16" s="139" t="n">
        <v>45653</v>
      </c>
      <c r="T16" s="125" t="n">
        <v>17</v>
      </c>
      <c r="U16" s="34"/>
      <c r="V16" s="39" t="n">
        <v>17133</v>
      </c>
      <c r="W16" s="127" t="n">
        <v>45701</v>
      </c>
      <c r="X16" s="127" t="n">
        <v>45701</v>
      </c>
      <c r="Y16" s="127" t="n">
        <v>45701</v>
      </c>
      <c r="Z16" s="128" t="n">
        <v>13</v>
      </c>
      <c r="AA16" s="38"/>
      <c r="AB16" s="39"/>
      <c r="AC16" s="39"/>
      <c r="AD16" s="40"/>
      <c r="AE16" s="104" t="n">
        <v>45652</v>
      </c>
      <c r="AF16" s="28" t="n">
        <v>6</v>
      </c>
      <c r="AG16" s="41"/>
      <c r="AH16" s="41"/>
      <c r="AI16" s="37" t="n">
        <f aca="false">SUM(AF16,AH16)</f>
        <v>6</v>
      </c>
      <c r="AJ16" s="42"/>
      <c r="AK16" s="43" t="str">
        <f aca="false">IF(AND(T16&gt;=12,Z16&gt;=12,AI16&gt;=6),"да","нет")</f>
        <v>да</v>
      </c>
      <c r="AL16" s="2"/>
      <c r="AM16" s="2" t="n">
        <v>30</v>
      </c>
      <c r="AN16" s="23" t="n">
        <f aca="false">SUM(T16,Z16,AB16,AC16,AI16,AM16,AL16)</f>
        <v>66</v>
      </c>
      <c r="AO16" s="29" t="str">
        <f aca="false">IF(AND(T16&gt;=12,Z16&gt;=12,AI16&gt;=6,AM16&gt;=24,AN16&gt;=60),"Зачет","Незачет")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140" t="s">
        <v>457</v>
      </c>
      <c r="C17" s="27" t="s">
        <v>130</v>
      </c>
      <c r="D17" s="27" t="n">
        <v>467754</v>
      </c>
      <c r="E17" s="28" t="s">
        <v>518</v>
      </c>
      <c r="F17" s="28" t="s">
        <v>518</v>
      </c>
      <c r="G17" s="28" t="s">
        <v>518</v>
      </c>
      <c r="H17" s="28" t="s">
        <v>518</v>
      </c>
      <c r="I17" s="28" t="s">
        <v>518</v>
      </c>
      <c r="J17" s="28" t="s">
        <v>518</v>
      </c>
      <c r="K17" s="28" t="s">
        <v>518</v>
      </c>
      <c r="L17" s="28" t="s">
        <v>518</v>
      </c>
      <c r="M17" s="28" t="s">
        <v>551</v>
      </c>
      <c r="N17" s="29" t="s">
        <v>551</v>
      </c>
      <c r="O17" s="29" t="s">
        <v>551</v>
      </c>
      <c r="P17" s="29"/>
      <c r="Q17" s="30"/>
      <c r="R17" s="31" t="n">
        <v>1714</v>
      </c>
      <c r="S17" s="36"/>
      <c r="T17" s="125"/>
      <c r="U17" s="34"/>
      <c r="V17" s="39"/>
      <c r="W17" s="137"/>
      <c r="X17" s="137"/>
      <c r="Y17" s="137"/>
      <c r="Z17" s="128"/>
      <c r="AA17" s="38"/>
      <c r="AB17" s="39"/>
      <c r="AC17" s="39"/>
      <c r="AD17" s="44"/>
      <c r="AE17" s="129" t="n">
        <v>45647</v>
      </c>
      <c r="AF17" s="28" t="n">
        <v>0</v>
      </c>
      <c r="AG17" s="36"/>
      <c r="AH17" s="36"/>
      <c r="AI17" s="37" t="n">
        <f aca="false">SUM(AF17,AH17)</f>
        <v>0</v>
      </c>
      <c r="AJ17" s="42"/>
      <c r="AK17" s="43" t="str">
        <f aca="false">IF(AND(T17&gt;=12,Z17&gt;=12,AI17&gt;=6),"да","нет")</f>
        <v>нет</v>
      </c>
      <c r="AL17" s="2"/>
      <c r="AM17" s="2"/>
      <c r="AN17" s="23" t="n">
        <f aca="false">SUM(T17,Z17,AB17,AC17,AI17,AM17,AL17)</f>
        <v>0</v>
      </c>
      <c r="AO17" s="29" t="str">
        <f aca="false">IF(AND(T17&gt;=12,Z17&gt;=12,AI17&gt;=6,AM17&gt;=24,AN17&gt;=60),"Зачет","Незачет")</f>
        <v>Незачет</v>
      </c>
    </row>
    <row r="18" customFormat="false" ht="15.75" hidden="false" customHeight="false" outlineLevel="0" collapsed="false">
      <c r="A18" s="25" t="n">
        <v>16</v>
      </c>
      <c r="B18" s="26" t="s">
        <v>480</v>
      </c>
      <c r="C18" s="27" t="s">
        <v>130</v>
      </c>
      <c r="D18" s="27" t="n">
        <v>467969</v>
      </c>
      <c r="E18" s="28" t="s">
        <v>45</v>
      </c>
      <c r="F18" s="28" t="s">
        <v>45</v>
      </c>
      <c r="G18" s="28" t="s">
        <v>523</v>
      </c>
      <c r="H18" s="28" t="s">
        <v>523</v>
      </c>
      <c r="I18" s="28" t="s">
        <v>523</v>
      </c>
      <c r="J18" s="28" t="s">
        <v>523</v>
      </c>
      <c r="K18" s="28" t="s">
        <v>523</v>
      </c>
      <c r="L18" s="28" t="s">
        <v>551</v>
      </c>
      <c r="M18" s="28" t="s">
        <v>551</v>
      </c>
      <c r="N18" s="29" t="s">
        <v>551</v>
      </c>
      <c r="O18" s="29" t="s">
        <v>551</v>
      </c>
      <c r="P18" s="29"/>
      <c r="Q18" s="30"/>
      <c r="R18" s="31" t="n">
        <v>1715</v>
      </c>
      <c r="S18" s="28" t="s">
        <v>563</v>
      </c>
      <c r="T18" s="125" t="n">
        <v>19</v>
      </c>
      <c r="U18" s="34"/>
      <c r="V18" s="39" t="n">
        <v>171522</v>
      </c>
      <c r="W18" s="4" t="s">
        <v>561</v>
      </c>
      <c r="X18" s="4" t="s">
        <v>562</v>
      </c>
      <c r="Y18" s="4" t="s">
        <v>562</v>
      </c>
      <c r="Z18" s="128" t="n">
        <v>19.5</v>
      </c>
      <c r="AA18" s="38"/>
      <c r="AB18" s="39"/>
      <c r="AC18" s="39"/>
      <c r="AD18" s="40"/>
      <c r="AE18" s="129" t="n">
        <v>45647</v>
      </c>
      <c r="AF18" s="28" t="n">
        <v>10</v>
      </c>
      <c r="AG18" s="41"/>
      <c r="AH18" s="41"/>
      <c r="AI18" s="37" t="n">
        <f aca="false">SUM(AF18,AH18)</f>
        <v>10</v>
      </c>
      <c r="AJ18" s="42"/>
      <c r="AK18" s="43" t="str">
        <f aca="false">IF(AND(T18&gt;=12,Z18&gt;=12,AI18&gt;=6),"да","нет")</f>
        <v>да</v>
      </c>
      <c r="AL18" s="2"/>
      <c r="AM18" s="2" t="n">
        <v>40</v>
      </c>
      <c r="AN18" s="23" t="n">
        <f aca="false">SUM(T18,Z18,AB18,AC18,AI18,AM18,AL18)</f>
        <v>88.5</v>
      </c>
      <c r="AO18" s="29" t="str">
        <f aca="false">IF(AND(T18&gt;=12,Z18&gt;=12,AI18&gt;=6,AM18&gt;=24,AN18&gt;=60),"Зачет","Незачет")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502</v>
      </c>
      <c r="C19" s="27" t="s">
        <v>130</v>
      </c>
      <c r="D19" s="27" t="n">
        <v>468173</v>
      </c>
      <c r="E19" s="28" t="s">
        <v>45</v>
      </c>
      <c r="F19" s="28" t="s">
        <v>518</v>
      </c>
      <c r="G19" s="28" t="s">
        <v>45</v>
      </c>
      <c r="H19" s="28" t="s">
        <v>523</v>
      </c>
      <c r="I19" s="28" t="s">
        <v>523</v>
      </c>
      <c r="J19" s="28" t="s">
        <v>523</v>
      </c>
      <c r="K19" s="28" t="s">
        <v>523</v>
      </c>
      <c r="L19" s="28" t="s">
        <v>523</v>
      </c>
      <c r="M19" s="28" t="s">
        <v>551</v>
      </c>
      <c r="N19" s="29" t="s">
        <v>551</v>
      </c>
      <c r="O19" s="29" t="s">
        <v>551</v>
      </c>
      <c r="P19" s="29"/>
      <c r="Q19" s="30"/>
      <c r="R19" s="31" t="n">
        <v>1716</v>
      </c>
      <c r="S19" s="28" t="s">
        <v>561</v>
      </c>
      <c r="T19" s="125" t="n">
        <v>18</v>
      </c>
      <c r="U19" s="34"/>
      <c r="V19" s="39" t="n">
        <v>21716</v>
      </c>
      <c r="W19" s="4" t="s">
        <v>562</v>
      </c>
      <c r="X19" s="136" t="n">
        <v>45645</v>
      </c>
      <c r="Y19" s="136" t="n">
        <v>45645</v>
      </c>
      <c r="Z19" s="128" t="n">
        <v>18</v>
      </c>
      <c r="AA19" s="38"/>
      <c r="AB19" s="39"/>
      <c r="AC19" s="39"/>
      <c r="AD19" s="40"/>
      <c r="AE19" s="129" t="n">
        <v>45647</v>
      </c>
      <c r="AF19" s="28" t="n">
        <v>8</v>
      </c>
      <c r="AG19" s="41"/>
      <c r="AH19" s="41"/>
      <c r="AI19" s="37" t="n">
        <f aca="false">SUM(AF19,AH19)</f>
        <v>8</v>
      </c>
      <c r="AJ19" s="42"/>
      <c r="AK19" s="43" t="str">
        <f aca="false">IF(AND(T19&gt;=12,Z19&gt;=12,AI19&gt;=6),"да","нет")</f>
        <v>да</v>
      </c>
      <c r="AL19" s="2"/>
      <c r="AM19" s="2" t="n">
        <v>40</v>
      </c>
      <c r="AN19" s="23" t="n">
        <f aca="false">SUM(T19,Z19,AB19,AC19,AI19,AM19,AL19)</f>
        <v>84</v>
      </c>
      <c r="AO19" s="29" t="str">
        <f aca="false">IF(AND(T19&gt;=12,Z19&gt;=12,AI19&gt;=6,AM19&gt;=24,AN19&gt;=60),"Зачет","Незачет")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9"/>
      <c r="O20" s="29"/>
      <c r="P20" s="29"/>
      <c r="Q20" s="30"/>
      <c r="R20" s="46"/>
      <c r="S20" s="36"/>
      <c r="T20" s="37"/>
      <c r="U20" s="47"/>
      <c r="V20" s="28"/>
      <c r="W20" s="36"/>
      <c r="X20" s="36"/>
      <c r="Y20" s="36"/>
      <c r="Z20" s="37"/>
      <c r="AA20" s="38"/>
      <c r="AB20" s="39"/>
      <c r="AC20" s="39"/>
      <c r="AD20" s="48"/>
      <c r="AE20" s="28"/>
      <c r="AF20" s="28"/>
      <c r="AG20" s="28"/>
      <c r="AH20" s="28"/>
      <c r="AI20" s="37" t="n">
        <f aca="false">SUM(AF20,AH20)</f>
        <v>0</v>
      </c>
      <c r="AJ20" s="42"/>
      <c r="AK20" s="43" t="str">
        <f aca="false">IF(AND(T20&gt;=12,Z20&gt;=12,AI20&gt;=6),"да","нет")</f>
        <v>нет</v>
      </c>
      <c r="AL20" s="2"/>
      <c r="AM20" s="2"/>
      <c r="AN20" s="23" t="n">
        <f aca="false">SUM(T20,Z20,AB20,AC20,AI20,AM20,AL20)</f>
        <v>0</v>
      </c>
      <c r="AO20" s="29" t="str">
        <f aca="false">IF(AND(T20&gt;=12,Z20&gt;=12,AI20&gt;=6,AM20&gt;=24,AN20&gt;=60),"Зачет","Незачет")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9"/>
      <c r="O21" s="29"/>
      <c r="P21" s="29"/>
      <c r="Q21" s="30"/>
      <c r="R21" s="50"/>
      <c r="S21" s="36"/>
      <c r="T21" s="37"/>
      <c r="U21" s="47"/>
      <c r="V21" s="28"/>
      <c r="W21" s="36"/>
      <c r="X21" s="36"/>
      <c r="Y21" s="36"/>
      <c r="Z21" s="37"/>
      <c r="AA21" s="38"/>
      <c r="AB21" s="39"/>
      <c r="AC21" s="39"/>
      <c r="AD21" s="48"/>
      <c r="AE21" s="28"/>
      <c r="AF21" s="28"/>
      <c r="AG21" s="28"/>
      <c r="AH21" s="28"/>
      <c r="AI21" s="37" t="n">
        <f aca="false">SUM(AF21,AH21)</f>
        <v>0</v>
      </c>
      <c r="AJ21" s="42"/>
      <c r="AK21" s="43" t="str">
        <f aca="false">IF(AND(T21&gt;=12,Z21&gt;=12,AI21&gt;=6),"да","нет")</f>
        <v>нет</v>
      </c>
      <c r="AL21" s="2"/>
      <c r="AM21" s="2"/>
      <c r="AN21" s="23" t="n">
        <f aca="false">SUM(T21,Z21,AB21,AC21,AI21,AM21,AL21)</f>
        <v>0</v>
      </c>
      <c r="AO21" s="29" t="str">
        <f aca="false">IF(AND(T21&gt;=12,Z21&gt;=12,AI21&gt;=6,AM21&gt;=24,AN21&gt;=60),"Зачет","Незачет")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29"/>
      <c r="P22" s="29"/>
      <c r="Q22" s="30"/>
      <c r="R22" s="50"/>
      <c r="S22" s="36"/>
      <c r="T22" s="37"/>
      <c r="U22" s="47"/>
      <c r="V22" s="28"/>
      <c r="W22" s="36"/>
      <c r="X22" s="36"/>
      <c r="Y22" s="36"/>
      <c r="Z22" s="37"/>
      <c r="AA22" s="38"/>
      <c r="AB22" s="39"/>
      <c r="AC22" s="39"/>
      <c r="AD22" s="48"/>
      <c r="AE22" s="28"/>
      <c r="AF22" s="28"/>
      <c r="AG22" s="28"/>
      <c r="AH22" s="28"/>
      <c r="AI22" s="37" t="n">
        <f aca="false">SUM(AF22,AH22)</f>
        <v>0</v>
      </c>
      <c r="AJ22" s="42"/>
      <c r="AK22" s="43" t="str">
        <f aca="false">IF(AND(T22&gt;=12,Z22&gt;=12,AI22&gt;=6),"да","нет")</f>
        <v>нет</v>
      </c>
      <c r="AL22" s="2"/>
      <c r="AM22" s="2"/>
      <c r="AN22" s="23" t="n">
        <f aca="false">SUM(T22,Z22,AB22,AC22,AI22,AM22,AL22)</f>
        <v>0</v>
      </c>
      <c r="AO22" s="29" t="str">
        <f aca="false">IF(AND(T22&gt;=12,Z22&gt;=12,AI22&gt;=6,AM22&gt;=24,AN22&gt;=60),"Зачет","Незачет")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8"/>
      <c r="N23" s="29"/>
      <c r="O23" s="29"/>
      <c r="P23" s="29"/>
      <c r="Q23" s="30"/>
      <c r="R23" s="50"/>
      <c r="S23" s="36"/>
      <c r="T23" s="37"/>
      <c r="U23" s="47"/>
      <c r="V23" s="28"/>
      <c r="W23" s="36"/>
      <c r="X23" s="36"/>
      <c r="Y23" s="36"/>
      <c r="Z23" s="37"/>
      <c r="AA23" s="38"/>
      <c r="AB23" s="39"/>
      <c r="AC23" s="39"/>
      <c r="AD23" s="48"/>
      <c r="AE23" s="28"/>
      <c r="AF23" s="28"/>
      <c r="AG23" s="28"/>
      <c r="AH23" s="28"/>
      <c r="AI23" s="28"/>
      <c r="AJ23" s="42"/>
      <c r="AK23" s="43"/>
      <c r="AL23" s="2"/>
      <c r="AM23" s="2"/>
      <c r="AN23" s="23"/>
      <c r="AO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30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3"/>
      <c r="AK24" s="47"/>
      <c r="AL24" s="47"/>
      <c r="AM24" s="47"/>
      <c r="AN24" s="47"/>
      <c r="AO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0</v>
      </c>
      <c r="G25" s="37" t="n">
        <f aca="false">COUNTIF(G$3:G$23, "~**")</f>
        <v>0</v>
      </c>
      <c r="H25" s="37" t="n">
        <f aca="false">COUNTIF(H$3:H$23, "~**")</f>
        <v>0</v>
      </c>
      <c r="I25" s="37"/>
      <c r="J25" s="37" t="n">
        <f aca="false">COUNTIF(J$3:J$23, "~**")</f>
        <v>0</v>
      </c>
      <c r="K25" s="37" t="n">
        <f aca="false">COUNTIF(K$3:K$23, "~**")</f>
        <v>0</v>
      </c>
      <c r="L25" s="37" t="n">
        <f aca="false">COUNTIF(L$3:L$23, "~**")</f>
        <v>0</v>
      </c>
      <c r="M25" s="37" t="n">
        <f aca="false">COUNTIF(M$3:M$23, "~**")</f>
        <v>0</v>
      </c>
      <c r="N25" s="54" t="n">
        <f aca="false">COUNTIF(N$3:N$23, "~**")</f>
        <v>0</v>
      </c>
      <c r="O25" s="54" t="n">
        <f aca="false">COUNTIF(O$3:O$23, "~**")</f>
        <v>0</v>
      </c>
      <c r="P25" s="54" t="n">
        <f aca="false">COUNTIF(P$3:P$23, "~**")</f>
        <v>0</v>
      </c>
      <c r="Q25" s="55"/>
      <c r="R25" s="2" t="s">
        <v>27</v>
      </c>
      <c r="S25" s="2"/>
      <c r="T25" s="37" t="n">
        <f aca="false">T26*0.6</f>
        <v>12</v>
      </c>
      <c r="U25" s="55"/>
      <c r="V25" s="28"/>
      <c r="W25" s="37"/>
      <c r="X25" s="37"/>
      <c r="Y25" s="37"/>
      <c r="Z25" s="37" t="n">
        <f aca="false">Z26*0.6</f>
        <v>12</v>
      </c>
      <c r="AA25" s="56"/>
      <c r="AB25" s="37" t="n">
        <v>0</v>
      </c>
      <c r="AC25" s="37" t="n">
        <v>0</v>
      </c>
      <c r="AD25" s="57"/>
      <c r="AF25" s="2" t="n">
        <v>3</v>
      </c>
      <c r="AH25" s="2" t="n">
        <v>3</v>
      </c>
      <c r="AI25" s="37" t="n">
        <v>6</v>
      </c>
      <c r="AJ25" s="58"/>
      <c r="AK25" s="59"/>
      <c r="AL25" s="37" t="n">
        <v>0</v>
      </c>
      <c r="AM25" s="37" t="n">
        <v>24</v>
      </c>
      <c r="AN25" s="19" t="n">
        <f aca="false">T25+Z25+AB25+AC25+AI25+AM25</f>
        <v>54</v>
      </c>
      <c r="AO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14</v>
      </c>
      <c r="F26" s="37" t="n">
        <f aca="false">COUNTIF(F$3:F$23, "~**")+COUNTIF(F$3:F$23, "Y")</f>
        <v>11</v>
      </c>
      <c r="G26" s="37" t="n">
        <f aca="false">COUNTIF(G$3:G$23, "~**")+COUNTIF(G$3:G$23, "Y")</f>
        <v>7</v>
      </c>
      <c r="H26" s="37" t="n">
        <f aca="false">COUNTIF(H$3:H$23, "~**")+COUNTIF(H$3:H$23, "Y")</f>
        <v>2</v>
      </c>
      <c r="I26" s="37"/>
      <c r="J26" s="37" t="n">
        <f aca="false">COUNTIF(J$3:J$23, "~**")+COUNTIF(J$3:J$23, "Y")</f>
        <v>0</v>
      </c>
      <c r="K26" s="37" t="n">
        <f aca="false">COUNTIF(K$3:K$23, "~**")+COUNTIF(K$3:K$23, "Y")</f>
        <v>0</v>
      </c>
      <c r="L26" s="37" t="n">
        <f aca="false">COUNTIF(L$3:L$23, "~**")+COUNTIF(L$3:L$23, "Y")</f>
        <v>0</v>
      </c>
      <c r="M26" s="37" t="n">
        <f aca="false">COUNTIF(M$3:M$23, "~**")+COUNTIF(M$3:M$23, "Y")</f>
        <v>0</v>
      </c>
      <c r="N26" s="54" t="n">
        <f aca="false">COUNTIF(N$3:N$23, "~**")+COUNTIF(N$3:N$23, "Y")</f>
        <v>0</v>
      </c>
      <c r="O26" s="54" t="n">
        <f aca="false">COUNTIF(O$3:O$23, "~**")+COUNTIF(O$3:O$23, "Y")</f>
        <v>0</v>
      </c>
      <c r="P26" s="54" t="n">
        <f aca="false">COUNTIF(P$3:P$23, "~**")+COUNTIF(P$3:P$23, "Y")</f>
        <v>0</v>
      </c>
      <c r="Q26" s="55"/>
      <c r="R26" s="2" t="s">
        <v>29</v>
      </c>
      <c r="S26" s="2"/>
      <c r="T26" s="37" t="n">
        <v>20</v>
      </c>
      <c r="U26" s="55"/>
      <c r="V26" s="28"/>
      <c r="W26" s="37"/>
      <c r="X26" s="37"/>
      <c r="Y26" s="37"/>
      <c r="Z26" s="37" t="n">
        <v>20</v>
      </c>
      <c r="AA26" s="56"/>
      <c r="AB26" s="37" t="n">
        <v>5</v>
      </c>
      <c r="AC26" s="37" t="n">
        <v>5</v>
      </c>
      <c r="AD26" s="57"/>
      <c r="AF26" s="2" t="n">
        <v>5</v>
      </c>
      <c r="AH26" s="2" t="n">
        <v>5</v>
      </c>
      <c r="AI26" s="37" t="n">
        <v>10</v>
      </c>
      <c r="AJ26" s="58"/>
      <c r="AK26" s="59"/>
      <c r="AL26" s="37" t="n">
        <v>3</v>
      </c>
      <c r="AM26" s="37" t="n">
        <v>40</v>
      </c>
      <c r="AN26" s="19" t="n">
        <f aca="false">SUM(T26,Z26,AB26:AC26,AI26,AL26:AM26,)</f>
        <v>103</v>
      </c>
      <c r="AO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47"/>
      <c r="R27" s="2"/>
      <c r="S27" s="2"/>
      <c r="T27" s="61"/>
      <c r="U27" s="62"/>
      <c r="V27" s="141"/>
      <c r="W27" s="61"/>
      <c r="X27" s="61"/>
      <c r="Y27" s="61"/>
      <c r="Z27" s="61"/>
      <c r="AA27" s="63"/>
      <c r="AB27" s="2"/>
      <c r="AC27" s="2"/>
      <c r="AD27" s="57"/>
      <c r="AI27" s="61"/>
      <c r="AJ27" s="64"/>
      <c r="AK27" s="65"/>
      <c r="AL27" s="2"/>
      <c r="AM27" s="2"/>
      <c r="AN27" s="66"/>
      <c r="AO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47"/>
      <c r="R28" s="2" t="s">
        <v>31</v>
      </c>
      <c r="S28" s="2"/>
      <c r="T28" s="61" t="n">
        <f aca="false">IFERROR(COUNTA(T$3:T23)/COUNTA($B$3:$B$23), 0)</f>
        <v>0.8823529412</v>
      </c>
      <c r="U28" s="62"/>
      <c r="V28" s="141"/>
      <c r="W28" s="61"/>
      <c r="X28" s="61"/>
      <c r="Y28" s="61"/>
      <c r="Z28" s="61" t="n">
        <f aca="false">IFERROR(COUNTA(Z$3:Z23)/COUNTA($B$3:$B$23), 0)</f>
        <v>0.8823529412</v>
      </c>
      <c r="AA28" s="63"/>
      <c r="AB28" s="2"/>
      <c r="AC28" s="2"/>
      <c r="AD28" s="57"/>
      <c r="AF28" s="61" t="n">
        <f aca="false">IFERROR(COUNTIF(AF$3:AF23, "&gt;0")/COUNTA($B$3:$B$22), 0)</f>
        <v>0.8823529412</v>
      </c>
      <c r="AH28" s="61" t="n">
        <f aca="false">IFERROR(COUNTIF(AH$3:AH23, "&gt;0")/COUNTA($B$3:$B$22), 0)</f>
        <v>0</v>
      </c>
      <c r="AI28" s="61" t="n">
        <f aca="false">IFERROR(COUNTIF(AI$3:AI23, "&gt;0")/COUNTA($B$3:$B$22), 0)</f>
        <v>0.882352941176471</v>
      </c>
      <c r="AJ28" s="64"/>
      <c r="AK28" s="65"/>
      <c r="AL28" s="2"/>
      <c r="AM28" s="61" t="n">
        <f aca="false">IFERROR(COUNTIF(AM$3:AM23, "&gt;24")/COUNTA($B$3:$B$22), 0)</f>
        <v>0.8235294118</v>
      </c>
      <c r="AN28" s="66"/>
      <c r="AO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47"/>
      <c r="R29" s="2"/>
      <c r="S29" s="2"/>
      <c r="T29" s="2"/>
      <c r="U29" s="47"/>
      <c r="V29" s="28"/>
      <c r="W29" s="2"/>
      <c r="X29" s="2"/>
      <c r="Y29" s="2"/>
      <c r="Z29" s="2"/>
      <c r="AA29" s="63"/>
      <c r="AB29" s="2"/>
      <c r="AC29" s="2"/>
      <c r="AD29" s="63"/>
      <c r="AE29" s="2"/>
      <c r="AF29" s="2"/>
      <c r="AG29" s="2"/>
      <c r="AH29" s="2"/>
      <c r="AI29" s="2"/>
      <c r="AJ29" s="64"/>
      <c r="AK29" s="65"/>
      <c r="AL29" s="2"/>
      <c r="AM29" s="2"/>
      <c r="AN29" s="66"/>
      <c r="AO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/>
      <c r="M30" s="2" t="s">
        <v>34</v>
      </c>
      <c r="N30" s="2"/>
      <c r="O30" s="2"/>
      <c r="P30" s="2"/>
      <c r="Q30" s="47"/>
      <c r="R30" s="2"/>
      <c r="S30" s="2"/>
      <c r="T30" s="2"/>
      <c r="U30" s="47"/>
      <c r="V30" s="28"/>
      <c r="W30" s="2"/>
      <c r="X30" s="2"/>
      <c r="Y30" s="2"/>
      <c r="Z30" s="2"/>
      <c r="AA30" s="63"/>
      <c r="AB30" s="2"/>
      <c r="AC30" s="2"/>
      <c r="AD30" s="63"/>
      <c r="AE30" s="2"/>
      <c r="AF30" s="2"/>
      <c r="AG30" s="2"/>
      <c r="AH30" s="2"/>
      <c r="AI30" s="2"/>
      <c r="AJ30" s="64"/>
      <c r="AK30" s="65"/>
      <c r="AL30" s="2"/>
      <c r="AM30" s="2"/>
      <c r="AN30" s="66"/>
      <c r="AO30" s="2"/>
    </row>
    <row r="31" customFormat="false" ht="15.75" hidden="false" customHeight="false" outlineLevel="0" collapsed="false">
      <c r="E31" s="2" t="s">
        <v>557</v>
      </c>
      <c r="Q31" s="68"/>
      <c r="U31" s="68"/>
      <c r="V31" s="28"/>
      <c r="AA31" s="57"/>
      <c r="AD31" s="57"/>
      <c r="AJ31" s="69"/>
      <c r="AK31" s="70"/>
      <c r="AN31" s="71"/>
    </row>
    <row r="32" customFormat="false" ht="15.75" hidden="false" customHeight="false" outlineLevel="0" collapsed="false">
      <c r="Q32" s="68"/>
      <c r="U32" s="68"/>
      <c r="V32" s="28"/>
      <c r="AA32" s="57"/>
      <c r="AD32" s="57"/>
      <c r="AJ32" s="69"/>
      <c r="AK32" s="70"/>
      <c r="AN32" s="71"/>
    </row>
    <row r="33" customFormat="false" ht="15.75" hidden="false" customHeight="false" outlineLevel="0" collapsed="false">
      <c r="Q33" s="68"/>
      <c r="U33" s="68"/>
      <c r="V33" s="28"/>
      <c r="AA33" s="57"/>
      <c r="AD33" s="57"/>
      <c r="AJ33" s="69"/>
      <c r="AK33" s="70"/>
      <c r="AN33" s="71"/>
    </row>
  </sheetData>
  <mergeCells count="13">
    <mergeCell ref="A1:A2"/>
    <mergeCell ref="E1:P1"/>
    <mergeCell ref="R1:T1"/>
    <mergeCell ref="V1:Z1"/>
    <mergeCell ref="AB1:AB2"/>
    <mergeCell ref="AC1:AC2"/>
    <mergeCell ref="AE1:AF1"/>
    <mergeCell ref="AG1:AH1"/>
    <mergeCell ref="AI1:AI2"/>
    <mergeCell ref="AK1:AK2"/>
    <mergeCell ref="AL1:AL2"/>
    <mergeCell ref="AM1:AM2"/>
    <mergeCell ref="AN1:AO1"/>
  </mergeCells>
  <conditionalFormatting sqref="AJ3:AK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O3:AO23">
    <cfRule type="beginsWith" priority="4" operator="beginsWith" aboveAverage="0" equalAverage="0" bottom="0" percent="0" rank="0" text="зачет" dxfId="2">
      <formula>LEFT(AO3,LEN("зачет"))="зачет"</formula>
    </cfRule>
  </conditionalFormatting>
  <conditionalFormatting sqref="E3:M23">
    <cfRule type="cellIs" priority="5" operator="equal" aboveAverage="0" equalAverage="0" bottom="0" percent="0" rank="0" text="" dxfId="3">
      <formula>"N"</formula>
    </cfRule>
  </conditionalFormatting>
  <conditionalFormatting sqref="T3:T23 Z3:AC23 AI3:AI23 AL3:AM23">
    <cfRule type="containsText" priority="6" operator="containsText" aboveAverage="0" equalAverage="0" bottom="0" percent="0" rank="0" text="." dxfId="4">
      <formula>NOT(ISERROR(SEARCH(".",T3)))</formula>
    </cfRule>
  </conditionalFormatting>
  <conditionalFormatting sqref="S20:S23">
    <cfRule type="expression" priority="7" aboveAverage="0" equalAverage="0" bottom="0" percent="0" rank="0" text="" dxfId="5">
      <formula>S20&gt;45230</formula>
    </cfRule>
  </conditionalFormatting>
  <conditionalFormatting sqref="AD3:AD23 AF3:AH23 W20:Y23 AE20:AE23">
    <cfRule type="expression" priority="8" aboveAverage="0" equalAverage="0" bottom="0" percent="0" rank="0" text="" dxfId="5">
      <formula>AD3&gt;45291</formula>
    </cfRule>
  </conditionalFormatting>
  <conditionalFormatting sqref="S3:S19">
    <cfRule type="expression" priority="9" aboveAverage="0" equalAverage="0" bottom="0" percent="0" rank="0" text="" dxfId="3">
      <formula>S3&gt;45689</formula>
    </cfRule>
  </conditionalFormatting>
  <conditionalFormatting sqref="W3:Y19">
    <cfRule type="expression" priority="10" aboveAverage="0" equalAverage="0" bottom="0" percent="0" rank="0" text="" dxfId="3">
      <formula>W3&gt;45689</formula>
    </cfRule>
  </conditionalFormatting>
  <conditionalFormatting sqref="AE3:AE19">
    <cfRule type="expression" priority="11" aboveAverage="0" equalAverage="0" bottom="0" percent="0" rank="0" text="" dxfId="3">
      <formula>AE3&gt;45689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9" min="18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566</v>
      </c>
      <c r="C1" s="3" t="s">
        <v>139</v>
      </c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45541</v>
      </c>
      <c r="F2" s="15" t="n">
        <f aca="false">E2+14</f>
        <v>45555</v>
      </c>
      <c r="G2" s="15" t="n">
        <f aca="false">F2+14</f>
        <v>45569</v>
      </c>
      <c r="H2" s="15" t="n">
        <f aca="false">G2+14</f>
        <v>45583</v>
      </c>
      <c r="I2" s="15" t="n">
        <f aca="false">H2+14</f>
        <v>45597</v>
      </c>
      <c r="J2" s="15" t="n">
        <f aca="false">I2+14</f>
        <v>45611</v>
      </c>
      <c r="K2" s="15" t="n">
        <f aca="false">J2+14</f>
        <v>45625</v>
      </c>
      <c r="L2" s="15" t="n">
        <f aca="false">K2+14</f>
        <v>45639</v>
      </c>
      <c r="M2" s="16"/>
      <c r="N2" s="17"/>
      <c r="O2" s="17"/>
      <c r="P2" s="18"/>
      <c r="Q2" s="19" t="s">
        <v>17</v>
      </c>
      <c r="R2" s="19" t="s">
        <v>18</v>
      </c>
      <c r="S2" s="19" t="s">
        <v>19</v>
      </c>
      <c r="T2" s="6"/>
      <c r="U2" s="19" t="s">
        <v>17</v>
      </c>
      <c r="V2" s="19" t="s">
        <v>20</v>
      </c>
      <c r="W2" s="20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138</v>
      </c>
      <c r="C3" s="27" t="s">
        <v>139</v>
      </c>
      <c r="D3" s="27" t="n">
        <v>465382</v>
      </c>
      <c r="E3" s="28" t="s">
        <v>45</v>
      </c>
      <c r="F3" s="28" t="s">
        <v>45</v>
      </c>
      <c r="G3" s="28" t="s">
        <v>45</v>
      </c>
      <c r="H3" s="28" t="s">
        <v>45</v>
      </c>
      <c r="I3" s="28" t="s">
        <v>45</v>
      </c>
      <c r="J3" s="28" t="s">
        <v>559</v>
      </c>
      <c r="K3" s="28" t="s">
        <v>559</v>
      </c>
      <c r="L3" s="28" t="s">
        <v>45</v>
      </c>
      <c r="M3" s="29"/>
      <c r="N3" s="29"/>
      <c r="O3" s="29"/>
      <c r="P3" s="30"/>
      <c r="Q3" s="31" t="n">
        <v>45382</v>
      </c>
      <c r="R3" s="102" t="n">
        <v>45611</v>
      </c>
      <c r="S3" s="142" t="n">
        <v>19</v>
      </c>
      <c r="T3" s="34" t="n">
        <v>55382</v>
      </c>
      <c r="U3" s="35" t="n">
        <v>55382</v>
      </c>
      <c r="V3" s="41" t="n">
        <v>45625</v>
      </c>
      <c r="W3" s="41" t="n">
        <v>45625</v>
      </c>
      <c r="X3" s="41" t="n">
        <v>45625</v>
      </c>
      <c r="Y3" s="37" t="n">
        <v>19</v>
      </c>
      <c r="Z3" s="38"/>
      <c r="AA3" s="39"/>
      <c r="AB3" s="39"/>
      <c r="AC3" s="40"/>
      <c r="AD3" s="41" t="n">
        <v>45649</v>
      </c>
      <c r="AE3" s="28" t="n">
        <v>10</v>
      </c>
      <c r="AF3" s="41"/>
      <c r="AG3" s="41"/>
      <c r="AH3" s="37" t="n">
        <f aca="false">SUM(AE3,AG3)</f>
        <v>10</v>
      </c>
      <c r="AI3" s="42"/>
      <c r="AJ3" s="43" t="str">
        <f aca="false">IF(AND(S3&gt;=12,Y3&gt;=12,AH3&gt;=6),"да","нет")</f>
        <v>да</v>
      </c>
      <c r="AK3" s="2"/>
      <c r="AL3" s="2" t="n">
        <v>38</v>
      </c>
      <c r="AM3" s="23" t="n">
        <f aca="false">SUM(S3,Y3,AA3,AB3,AH3,AL3,AK3)</f>
        <v>86</v>
      </c>
      <c r="AN3" s="29" t="str">
        <f aca="false">IF(AND(S3&gt;=12,Y3&gt;=12,AH3&gt;=6,AL3&gt;=24,AM3&gt;=60),"Зачет","Незачет")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144</v>
      </c>
      <c r="C4" s="27" t="s">
        <v>139</v>
      </c>
      <c r="D4" s="27" t="n">
        <v>465457</v>
      </c>
      <c r="E4" s="28" t="s">
        <v>559</v>
      </c>
      <c r="F4" s="28" t="s">
        <v>45</v>
      </c>
      <c r="G4" s="28" t="s">
        <v>45</v>
      </c>
      <c r="H4" s="28" t="s">
        <v>559</v>
      </c>
      <c r="I4" s="28" t="s">
        <v>559</v>
      </c>
      <c r="J4" s="28" t="s">
        <v>559</v>
      </c>
      <c r="K4" s="28" t="s">
        <v>559</v>
      </c>
      <c r="L4" s="28" t="s">
        <v>559</v>
      </c>
      <c r="M4" s="29"/>
      <c r="N4" s="29"/>
      <c r="O4" s="29"/>
      <c r="P4" s="30"/>
      <c r="Q4" s="31" t="n">
        <v>45457</v>
      </c>
      <c r="R4" s="102" t="n">
        <v>45632</v>
      </c>
      <c r="S4" s="33" t="n">
        <v>15.2</v>
      </c>
      <c r="T4" s="34"/>
      <c r="U4" s="35" t="n">
        <v>55457</v>
      </c>
      <c r="V4" s="36" t="n">
        <v>46004</v>
      </c>
      <c r="W4" s="36" t="n">
        <v>46004</v>
      </c>
      <c r="X4" s="36" t="n">
        <v>46004</v>
      </c>
      <c r="Y4" s="37" t="n">
        <v>16.5</v>
      </c>
      <c r="Z4" s="38"/>
      <c r="AA4" s="39"/>
      <c r="AB4" s="39"/>
      <c r="AC4" s="40"/>
      <c r="AD4" s="41" t="n">
        <v>45649</v>
      </c>
      <c r="AE4" s="28" t="n">
        <v>0</v>
      </c>
      <c r="AF4" s="41" t="n">
        <v>45671</v>
      </c>
      <c r="AG4" s="28" t="n">
        <v>6</v>
      </c>
      <c r="AH4" s="37" t="n">
        <f aca="false">SUM(AE4,AG4)</f>
        <v>6</v>
      </c>
      <c r="AI4" s="42"/>
      <c r="AJ4" s="43" t="str">
        <f aca="false">IF(AND(S4&gt;=12,Y4&gt;=12,AH4&gt;=6),"да","нет")</f>
        <v>да</v>
      </c>
      <c r="AK4" s="2"/>
      <c r="AL4" s="2" t="n">
        <v>30</v>
      </c>
      <c r="AM4" s="23" t="n">
        <f aca="false">SUM(S4,Y4,AA4,AB4,AH4,AL4,AK4)</f>
        <v>67.7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175</v>
      </c>
      <c r="C5" s="27" t="s">
        <v>139</v>
      </c>
      <c r="D5" s="27" t="n">
        <v>465745</v>
      </c>
      <c r="E5" s="28" t="s">
        <v>518</v>
      </c>
      <c r="F5" s="28" t="s">
        <v>45</v>
      </c>
      <c r="G5" s="28" t="s">
        <v>45</v>
      </c>
      <c r="H5" s="28" t="s">
        <v>45</v>
      </c>
      <c r="I5" s="28" t="s">
        <v>559</v>
      </c>
      <c r="J5" s="28" t="s">
        <v>559</v>
      </c>
      <c r="K5" s="28" t="s">
        <v>559</v>
      </c>
      <c r="L5" s="28" t="s">
        <v>518</v>
      </c>
      <c r="M5" s="29"/>
      <c r="N5" s="29"/>
      <c r="O5" s="29"/>
      <c r="P5" s="30"/>
      <c r="Q5" s="31" t="n">
        <v>45745</v>
      </c>
      <c r="R5" s="102" t="n">
        <v>45611</v>
      </c>
      <c r="S5" s="142" t="n">
        <v>20</v>
      </c>
      <c r="T5" s="34"/>
      <c r="U5" s="35" t="n">
        <v>55745</v>
      </c>
      <c r="V5" s="41" t="n">
        <v>45625</v>
      </c>
      <c r="W5" s="41" t="n">
        <v>45625</v>
      </c>
      <c r="X5" s="41" t="n">
        <v>45625</v>
      </c>
      <c r="Y5" s="37" t="n">
        <v>19.7</v>
      </c>
      <c r="Z5" s="38"/>
      <c r="AA5" s="39"/>
      <c r="AB5" s="39"/>
      <c r="AC5" s="44"/>
      <c r="AD5" s="41" t="n">
        <v>45649</v>
      </c>
      <c r="AE5" s="28" t="n">
        <v>10</v>
      </c>
      <c r="AF5" s="36"/>
      <c r="AG5" s="36"/>
      <c r="AH5" s="37" t="n">
        <f aca="false">SUM(AE5,AG5)</f>
        <v>10</v>
      </c>
      <c r="AI5" s="42"/>
      <c r="AJ5" s="43" t="str">
        <f aca="false">IF(AND(S5&gt;=12,Y5&gt;=12,AH5&gt;=6),"да","нет")</f>
        <v>да</v>
      </c>
      <c r="AK5" s="2"/>
      <c r="AL5" s="2" t="n">
        <v>39</v>
      </c>
      <c r="AM5" s="23" t="n">
        <f aca="false">SUM(S5,Y5,AA5,AB5,AH5,AL5,AK5)</f>
        <v>88.7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238</v>
      </c>
      <c r="C6" s="27" t="s">
        <v>139</v>
      </c>
      <c r="D6" s="27" t="n">
        <v>466279</v>
      </c>
      <c r="E6" s="28" t="s">
        <v>45</v>
      </c>
      <c r="F6" s="28" t="s">
        <v>45</v>
      </c>
      <c r="G6" s="28" t="s">
        <v>45</v>
      </c>
      <c r="H6" s="28" t="s">
        <v>45</v>
      </c>
      <c r="I6" s="28" t="s">
        <v>559</v>
      </c>
      <c r="J6" s="28" t="s">
        <v>560</v>
      </c>
      <c r="K6" s="28" t="s">
        <v>560</v>
      </c>
      <c r="L6" s="28" t="s">
        <v>45</v>
      </c>
      <c r="M6" s="29"/>
      <c r="N6" s="29"/>
      <c r="O6" s="29"/>
      <c r="P6" s="30"/>
      <c r="Q6" s="31" t="n">
        <v>46279</v>
      </c>
      <c r="R6" s="32" t="n">
        <v>45976</v>
      </c>
      <c r="S6" s="33" t="n">
        <v>19.7</v>
      </c>
      <c r="T6" s="34"/>
      <c r="U6" s="35" t="n">
        <v>56279</v>
      </c>
      <c r="V6" s="36" t="n">
        <v>45990</v>
      </c>
      <c r="W6" s="36" t="n">
        <v>45990</v>
      </c>
      <c r="X6" s="36" t="n">
        <v>45990</v>
      </c>
      <c r="Y6" s="37" t="n">
        <v>19.8</v>
      </c>
      <c r="Z6" s="38"/>
      <c r="AA6" s="39"/>
      <c r="AB6" s="39"/>
      <c r="AC6" s="44"/>
      <c r="AD6" s="41" t="n">
        <v>45649</v>
      </c>
      <c r="AE6" s="28" t="n">
        <v>9.6</v>
      </c>
      <c r="AF6" s="36"/>
      <c r="AG6" s="36"/>
      <c r="AH6" s="37" t="n">
        <f aca="false">SUM(AE6,AG6)</f>
        <v>9.6</v>
      </c>
      <c r="AI6" s="42"/>
      <c r="AJ6" s="43" t="str">
        <f aca="false">IF(AND(S6&gt;=12,Y6&gt;=12,AH6&gt;=6),"да","нет")</f>
        <v>да</v>
      </c>
      <c r="AK6" s="2"/>
      <c r="AL6" s="2" t="n">
        <v>39</v>
      </c>
      <c r="AM6" s="23" t="n">
        <f aca="false">SUM(S6,Y6,AA6,AB6,AH6,AL6,AK6)</f>
        <v>88.1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248</v>
      </c>
      <c r="C7" s="27" t="s">
        <v>139</v>
      </c>
      <c r="D7" s="27" t="n">
        <v>466339</v>
      </c>
      <c r="E7" s="28" t="s">
        <v>559</v>
      </c>
      <c r="F7" s="28" t="s">
        <v>45</v>
      </c>
      <c r="G7" s="28" t="s">
        <v>45</v>
      </c>
      <c r="H7" s="28" t="s">
        <v>45</v>
      </c>
      <c r="I7" s="28" t="s">
        <v>45</v>
      </c>
      <c r="J7" s="28" t="s">
        <v>559</v>
      </c>
      <c r="K7" s="28" t="s">
        <v>518</v>
      </c>
      <c r="L7" s="28" t="s">
        <v>559</v>
      </c>
      <c r="M7" s="29"/>
      <c r="N7" s="29"/>
      <c r="O7" s="29"/>
      <c r="P7" s="30"/>
      <c r="Q7" s="31" t="n">
        <v>46339</v>
      </c>
      <c r="R7" s="102" t="n">
        <v>45632</v>
      </c>
      <c r="S7" s="33" t="n">
        <v>18.3</v>
      </c>
      <c r="T7" s="34"/>
      <c r="U7" s="35" t="n">
        <v>56339</v>
      </c>
      <c r="V7" s="36" t="n">
        <v>46004</v>
      </c>
      <c r="W7" s="36" t="n">
        <v>46004</v>
      </c>
      <c r="X7" s="36" t="n">
        <v>46004</v>
      </c>
      <c r="Y7" s="37" t="n">
        <v>18.5</v>
      </c>
      <c r="Z7" s="38"/>
      <c r="AA7" s="39"/>
      <c r="AB7" s="39"/>
      <c r="AC7" s="40"/>
      <c r="AD7" s="41" t="n">
        <v>45649</v>
      </c>
      <c r="AE7" s="28" t="n">
        <v>0</v>
      </c>
      <c r="AF7" s="41" t="n">
        <v>45671</v>
      </c>
      <c r="AG7" s="28" t="n">
        <v>6</v>
      </c>
      <c r="AH7" s="37" t="n">
        <f aca="false">SUM(AE7,AG7)</f>
        <v>6</v>
      </c>
      <c r="AI7" s="42"/>
      <c r="AJ7" s="43" t="str">
        <f aca="false">IF(AND(S7&gt;=12,Y7&gt;=12,AH7&gt;=6),"да","нет")</f>
        <v>да</v>
      </c>
      <c r="AK7" s="2"/>
      <c r="AL7" s="2" t="n">
        <v>35</v>
      </c>
      <c r="AM7" s="23" t="n">
        <f aca="false">SUM(S7,Y7,AA7,AB7,AH7,AL7,AK7)</f>
        <v>77.8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252</v>
      </c>
      <c r="C8" s="27" t="s">
        <v>139</v>
      </c>
      <c r="D8" s="27" t="n">
        <v>466364</v>
      </c>
      <c r="E8" s="28" t="s">
        <v>45</v>
      </c>
      <c r="F8" s="28" t="s">
        <v>518</v>
      </c>
      <c r="G8" s="28" t="s">
        <v>518</v>
      </c>
      <c r="H8" s="28" t="s">
        <v>518</v>
      </c>
      <c r="I8" s="28" t="s">
        <v>518</v>
      </c>
      <c r="J8" s="28" t="s">
        <v>518</v>
      </c>
      <c r="K8" s="28" t="s">
        <v>518</v>
      </c>
      <c r="L8" s="28" t="s">
        <v>518</v>
      </c>
      <c r="M8" s="29"/>
      <c r="N8" s="29"/>
      <c r="O8" s="29"/>
      <c r="P8" s="30"/>
      <c r="Q8" s="31" t="n">
        <v>46364</v>
      </c>
      <c r="R8" s="32"/>
      <c r="S8" s="33"/>
      <c r="T8" s="34"/>
      <c r="U8" s="35"/>
      <c r="V8" s="36"/>
      <c r="W8" s="36"/>
      <c r="X8" s="36"/>
      <c r="Y8" s="37"/>
      <c r="Z8" s="38"/>
      <c r="AA8" s="39"/>
      <c r="AB8" s="39"/>
      <c r="AC8" s="40"/>
      <c r="AD8" s="41" t="n">
        <v>45649</v>
      </c>
      <c r="AE8" s="28" t="n">
        <v>0</v>
      </c>
      <c r="AF8" s="41"/>
      <c r="AG8" s="41"/>
      <c r="AH8" s="37" t="n">
        <f aca="false">SUM(AE8,AG8)</f>
        <v>0</v>
      </c>
      <c r="AI8" s="42"/>
      <c r="AJ8" s="43" t="str">
        <f aca="false">IF(AND(S8&gt;=12,Y8&gt;=12,AH8&gt;=6),"да","нет")</f>
        <v>нет</v>
      </c>
      <c r="AK8" s="2"/>
      <c r="AL8" s="2"/>
      <c r="AM8" s="23" t="n">
        <f aca="false">SUM(S8,Y8,AA8,AB8,AH8,AL8,AK8)</f>
        <v>0</v>
      </c>
      <c r="AN8" s="29" t="str">
        <f aca="false">IF(AND(S8&gt;=12,Y8&gt;=12,AH8&gt;=6,AL8&gt;=24,AM8&gt;=60),"Зачет","Незачет")</f>
        <v>Незачет</v>
      </c>
    </row>
    <row r="9" customFormat="false" ht="15.75" hidden="false" customHeight="false" outlineLevel="0" collapsed="false">
      <c r="A9" s="25" t="n">
        <v>7</v>
      </c>
      <c r="B9" s="26" t="s">
        <v>287</v>
      </c>
      <c r="C9" s="27" t="s">
        <v>139</v>
      </c>
      <c r="D9" s="27" t="n">
        <v>466549</v>
      </c>
      <c r="E9" s="28" t="s">
        <v>518</v>
      </c>
      <c r="F9" s="28" t="s">
        <v>45</v>
      </c>
      <c r="G9" s="28" t="s">
        <v>45</v>
      </c>
      <c r="H9" s="28" t="s">
        <v>45</v>
      </c>
      <c r="I9" s="28" t="s">
        <v>45</v>
      </c>
      <c r="J9" s="28" t="s">
        <v>518</v>
      </c>
      <c r="K9" s="28" t="s">
        <v>560</v>
      </c>
      <c r="L9" s="28" t="s">
        <v>45</v>
      </c>
      <c r="M9" s="29"/>
      <c r="N9" s="29"/>
      <c r="O9" s="29"/>
      <c r="P9" s="30"/>
      <c r="Q9" s="143" t="n">
        <v>46549</v>
      </c>
      <c r="R9" s="32" t="n">
        <v>45990</v>
      </c>
      <c r="S9" s="33" t="n">
        <v>17.3</v>
      </c>
      <c r="T9" s="34"/>
      <c r="U9" s="35" t="n">
        <v>56549</v>
      </c>
      <c r="V9" s="36" t="n">
        <v>46004</v>
      </c>
      <c r="W9" s="36" t="n">
        <v>46004</v>
      </c>
      <c r="X9" s="36" t="n">
        <v>46004</v>
      </c>
      <c r="Y9" s="37" t="n">
        <v>17.5</v>
      </c>
      <c r="Z9" s="38"/>
      <c r="AA9" s="39"/>
      <c r="AB9" s="39"/>
      <c r="AC9" s="44"/>
      <c r="AD9" s="41" t="n">
        <v>45649</v>
      </c>
      <c r="AE9" s="28" t="n">
        <v>0</v>
      </c>
      <c r="AF9" s="41" t="n">
        <v>45671</v>
      </c>
      <c r="AG9" s="28" t="n">
        <v>6</v>
      </c>
      <c r="AH9" s="37" t="n">
        <f aca="false">SUM(AE9,AG9)</f>
        <v>6</v>
      </c>
      <c r="AI9" s="42"/>
      <c r="AJ9" s="43" t="str">
        <f aca="false">IF(AND(S9&gt;=12,Y9&gt;=12,AH9&gt;=6),"да","нет")</f>
        <v>да</v>
      </c>
      <c r="AK9" s="2"/>
      <c r="AL9" s="2" t="n">
        <v>34</v>
      </c>
      <c r="AM9" s="23" t="n">
        <f aca="false">SUM(S9,Y9,AA9,AB9,AH9,AL9,AK9)</f>
        <v>74.8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292</v>
      </c>
      <c r="C10" s="27" t="s">
        <v>139</v>
      </c>
      <c r="D10" s="27" t="n">
        <v>466595</v>
      </c>
      <c r="E10" s="28" t="s">
        <v>518</v>
      </c>
      <c r="F10" s="28" t="s">
        <v>45</v>
      </c>
      <c r="G10" s="28" t="s">
        <v>45</v>
      </c>
      <c r="H10" s="28" t="s">
        <v>518</v>
      </c>
      <c r="I10" s="28" t="s">
        <v>518</v>
      </c>
      <c r="J10" s="28" t="s">
        <v>560</v>
      </c>
      <c r="K10" s="28" t="s">
        <v>559</v>
      </c>
      <c r="L10" s="28" t="s">
        <v>45</v>
      </c>
      <c r="M10" s="29"/>
      <c r="N10" s="29"/>
      <c r="O10" s="29"/>
      <c r="P10" s="30"/>
      <c r="Q10" s="31" t="n">
        <v>46595</v>
      </c>
      <c r="R10" s="32" t="n">
        <v>45990</v>
      </c>
      <c r="S10" s="33" t="n">
        <v>19.4</v>
      </c>
      <c r="T10" s="34"/>
      <c r="U10" s="35" t="n">
        <v>56595</v>
      </c>
      <c r="V10" s="36" t="n">
        <v>45997</v>
      </c>
      <c r="W10" s="36" t="n">
        <v>45997</v>
      </c>
      <c r="X10" s="36" t="n">
        <v>45997</v>
      </c>
      <c r="Y10" s="37" t="n">
        <v>20</v>
      </c>
      <c r="Z10" s="38"/>
      <c r="AA10" s="39"/>
      <c r="AB10" s="39"/>
      <c r="AC10" s="40"/>
      <c r="AD10" s="41" t="n">
        <v>45649</v>
      </c>
      <c r="AE10" s="28" t="n">
        <v>10</v>
      </c>
      <c r="AF10" s="41"/>
      <c r="AG10" s="41"/>
      <c r="AH10" s="37" t="n">
        <f aca="false">SUM(AE10,AG10)</f>
        <v>10</v>
      </c>
      <c r="AI10" s="42"/>
      <c r="AJ10" s="43" t="str">
        <f aca="false">IF(AND(S10&gt;=12,Y10&gt;=12,AH10&gt;=6),"да","нет")</f>
        <v>да</v>
      </c>
      <c r="AK10" s="2"/>
      <c r="AL10" s="2" t="n">
        <v>40</v>
      </c>
      <c r="AM10" s="23" t="n">
        <f aca="false">SUM(S10,Y10,AA10,AB10,AH10,AL10,AK10)</f>
        <v>89.4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338</v>
      </c>
      <c r="C11" s="27" t="s">
        <v>139</v>
      </c>
      <c r="D11" s="27" t="n">
        <v>466938</v>
      </c>
      <c r="E11" s="28" t="s">
        <v>45</v>
      </c>
      <c r="F11" s="28" t="s">
        <v>45</v>
      </c>
      <c r="G11" s="28" t="s">
        <v>45</v>
      </c>
      <c r="H11" s="28" t="s">
        <v>45</v>
      </c>
      <c r="I11" s="28" t="s">
        <v>45</v>
      </c>
      <c r="J11" s="28" t="s">
        <v>559</v>
      </c>
      <c r="K11" s="28" t="s">
        <v>559</v>
      </c>
      <c r="L11" s="28" t="s">
        <v>45</v>
      </c>
      <c r="M11" s="29"/>
      <c r="N11" s="29"/>
      <c r="O11" s="29"/>
      <c r="P11" s="30"/>
      <c r="Q11" s="31" t="n">
        <v>46938</v>
      </c>
      <c r="R11" s="102" t="n">
        <v>45625</v>
      </c>
      <c r="S11" s="33" t="n">
        <v>19.7</v>
      </c>
      <c r="T11" s="34"/>
      <c r="U11" s="35" t="n">
        <v>56938</v>
      </c>
      <c r="V11" s="36" t="n">
        <v>46004</v>
      </c>
      <c r="W11" s="36" t="n">
        <v>46004</v>
      </c>
      <c r="X11" s="36" t="n">
        <v>46004</v>
      </c>
      <c r="Y11" s="37" t="n">
        <v>19.5</v>
      </c>
      <c r="Z11" s="38"/>
      <c r="AA11" s="39"/>
      <c r="AB11" s="39"/>
      <c r="AC11" s="40"/>
      <c r="AD11" s="41" t="n">
        <v>45649</v>
      </c>
      <c r="AE11" s="28" t="n">
        <v>0</v>
      </c>
      <c r="AF11" s="41" t="n">
        <v>45671</v>
      </c>
      <c r="AG11" s="28" t="n">
        <v>6</v>
      </c>
      <c r="AH11" s="37" t="n">
        <f aca="false">SUM(AE11,AG11)</f>
        <v>6</v>
      </c>
      <c r="AI11" s="42"/>
      <c r="AJ11" s="43" t="str">
        <f aca="false">IF(AND(S11&gt;=12,Y11&gt;=12,AH11&gt;=6),"да","нет")</f>
        <v>да</v>
      </c>
      <c r="AK11" s="2"/>
      <c r="AL11" s="2" t="n">
        <v>37</v>
      </c>
      <c r="AM11" s="23" t="n">
        <f aca="false">SUM(S11,Y11,AA11,AB11,AH11,AL11,AK11)</f>
        <v>82.2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343</v>
      </c>
      <c r="C12" s="27" t="s">
        <v>139</v>
      </c>
      <c r="D12" s="27" t="n">
        <v>348809</v>
      </c>
      <c r="E12" s="28" t="s">
        <v>45</v>
      </c>
      <c r="F12" s="28" t="s">
        <v>45</v>
      </c>
      <c r="G12" s="28" t="s">
        <v>45</v>
      </c>
      <c r="H12" s="28" t="s">
        <v>518</v>
      </c>
      <c r="I12" s="28" t="s">
        <v>559</v>
      </c>
      <c r="J12" s="28" t="s">
        <v>560</v>
      </c>
      <c r="K12" s="28" t="s">
        <v>559</v>
      </c>
      <c r="L12" s="28" t="s">
        <v>45</v>
      </c>
      <c r="M12" s="29"/>
      <c r="N12" s="29"/>
      <c r="O12" s="29"/>
      <c r="P12" s="30"/>
      <c r="Q12" s="31" t="n">
        <v>38809</v>
      </c>
      <c r="R12" s="32" t="n">
        <v>45976</v>
      </c>
      <c r="S12" s="33" t="n">
        <v>17.2</v>
      </c>
      <c r="T12" s="34"/>
      <c r="U12" s="35" t="n">
        <v>48809</v>
      </c>
      <c r="V12" s="36" t="n">
        <v>45997</v>
      </c>
      <c r="W12" s="36" t="n">
        <v>45997</v>
      </c>
      <c r="X12" s="36" t="n">
        <v>45997</v>
      </c>
      <c r="Y12" s="37" t="n">
        <v>17.7</v>
      </c>
      <c r="Z12" s="38"/>
      <c r="AA12" s="39"/>
      <c r="AB12" s="39"/>
      <c r="AC12" s="40"/>
      <c r="AD12" s="41" t="n">
        <v>45649</v>
      </c>
      <c r="AE12" s="28" t="n">
        <v>0</v>
      </c>
      <c r="AF12" s="41" t="n">
        <v>45671</v>
      </c>
      <c r="AG12" s="28" t="n">
        <v>6</v>
      </c>
      <c r="AH12" s="37" t="n">
        <f aca="false">SUM(AE12,AG12)</f>
        <v>6</v>
      </c>
      <c r="AI12" s="42"/>
      <c r="AJ12" s="43" t="str">
        <f aca="false">IF(AND(S12&gt;=12,Y12&gt;=12,AH12&gt;=6),"да","нет")</f>
        <v>да</v>
      </c>
      <c r="AK12" s="2"/>
      <c r="AL12" s="2" t="n">
        <v>33</v>
      </c>
      <c r="AM12" s="23" t="n">
        <f aca="false">SUM(S12,Y12,AA12,AB12,AH12,AL12,AK12)</f>
        <v>73.9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354</v>
      </c>
      <c r="C13" s="27" t="s">
        <v>139</v>
      </c>
      <c r="D13" s="27" t="n">
        <v>467092</v>
      </c>
      <c r="E13" s="28" t="s">
        <v>559</v>
      </c>
      <c r="F13" s="28" t="s">
        <v>45</v>
      </c>
      <c r="G13" s="28" t="s">
        <v>45</v>
      </c>
      <c r="H13" s="28" t="s">
        <v>45</v>
      </c>
      <c r="I13" s="28" t="s">
        <v>45</v>
      </c>
      <c r="J13" s="28" t="s">
        <v>560</v>
      </c>
      <c r="K13" s="28" t="s">
        <v>559</v>
      </c>
      <c r="L13" s="28" t="s">
        <v>45</v>
      </c>
      <c r="M13" s="29"/>
      <c r="N13" s="29"/>
      <c r="O13" s="29"/>
      <c r="P13" s="30"/>
      <c r="Q13" s="31" t="n">
        <v>47092</v>
      </c>
      <c r="R13" s="102" t="n">
        <v>45611</v>
      </c>
      <c r="S13" s="33" t="n">
        <v>18.8</v>
      </c>
      <c r="T13" s="34"/>
      <c r="U13" s="35" t="n">
        <v>57092</v>
      </c>
      <c r="V13" s="36" t="n">
        <v>45997</v>
      </c>
      <c r="W13" s="36" t="n">
        <v>45997</v>
      </c>
      <c r="X13" s="36" t="n">
        <v>45997</v>
      </c>
      <c r="Y13" s="37" t="n">
        <v>19.4</v>
      </c>
      <c r="Z13" s="38"/>
      <c r="AA13" s="39"/>
      <c r="AB13" s="39"/>
      <c r="AC13" s="40"/>
      <c r="AD13" s="41" t="n">
        <v>45649</v>
      </c>
      <c r="AE13" s="28" t="n">
        <v>9.8</v>
      </c>
      <c r="AF13" s="41"/>
      <c r="AG13" s="41"/>
      <c r="AH13" s="37" t="n">
        <f aca="false">SUM(AE13,AG13)</f>
        <v>9.8</v>
      </c>
      <c r="AI13" s="42"/>
      <c r="AJ13" s="43" t="str">
        <f aca="false">IF(AND(S13&gt;=12,Y13&gt;=12,AH13&gt;=6),"да","нет")</f>
        <v>да</v>
      </c>
      <c r="AK13" s="2"/>
      <c r="AL13" s="2" t="n">
        <v>37</v>
      </c>
      <c r="AM13" s="23" t="n">
        <f aca="false">SUM(S13,Y13,AA13,AB13,AH13,AL13,AK13)</f>
        <v>85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441</v>
      </c>
      <c r="C14" s="27" t="s">
        <v>139</v>
      </c>
      <c r="D14" s="27" t="n">
        <v>467654</v>
      </c>
      <c r="E14" s="28" t="s">
        <v>518</v>
      </c>
      <c r="F14" s="28" t="s">
        <v>45</v>
      </c>
      <c r="G14" s="28" t="s">
        <v>559</v>
      </c>
      <c r="H14" s="28" t="s">
        <v>559</v>
      </c>
      <c r="I14" s="28" t="s">
        <v>518</v>
      </c>
      <c r="J14" s="28" t="s">
        <v>45</v>
      </c>
      <c r="K14" s="28" t="s">
        <v>559</v>
      </c>
      <c r="L14" s="28" t="s">
        <v>45</v>
      </c>
      <c r="M14" s="29"/>
      <c r="N14" s="29"/>
      <c r="O14" s="29"/>
      <c r="P14" s="30"/>
      <c r="Q14" s="31" t="n">
        <v>47654</v>
      </c>
      <c r="R14" s="102" t="n">
        <v>45625</v>
      </c>
      <c r="S14" s="33" t="n">
        <v>19.7</v>
      </c>
      <c r="T14" s="34"/>
      <c r="U14" s="35" t="n">
        <v>57654</v>
      </c>
      <c r="V14" s="36" t="n">
        <v>46004</v>
      </c>
      <c r="W14" s="36" t="n">
        <v>46004</v>
      </c>
      <c r="X14" s="36" t="n">
        <v>46004</v>
      </c>
      <c r="Y14" s="37" t="n">
        <v>19.4</v>
      </c>
      <c r="Z14" s="38"/>
      <c r="AA14" s="39"/>
      <c r="AB14" s="39"/>
      <c r="AC14" s="40"/>
      <c r="AD14" s="41" t="n">
        <v>45649</v>
      </c>
      <c r="AE14" s="28" t="n">
        <v>0</v>
      </c>
      <c r="AF14" s="41" t="n">
        <v>45671</v>
      </c>
      <c r="AG14" s="28" t="n">
        <v>6</v>
      </c>
      <c r="AH14" s="37" t="n">
        <f aca="false">SUM(AE14,AG14)</f>
        <v>6</v>
      </c>
      <c r="AI14" s="42"/>
      <c r="AJ14" s="43" t="str">
        <f aca="false">IF(AND(S14&gt;=12,Y14&gt;=12,AH14&gt;=6),"да","нет")</f>
        <v>да</v>
      </c>
      <c r="AK14" s="2"/>
      <c r="AL14" s="2" t="n">
        <v>38</v>
      </c>
      <c r="AM14" s="23" t="n">
        <f aca="false">SUM(S14,Y14,AA14,AB14,AH14,AL14,AK14)</f>
        <v>83.1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461</v>
      </c>
      <c r="C15" s="27" t="s">
        <v>139</v>
      </c>
      <c r="D15" s="27" t="n">
        <v>467802</v>
      </c>
      <c r="E15" s="28" t="s">
        <v>45</v>
      </c>
      <c r="F15" s="28" t="s">
        <v>45</v>
      </c>
      <c r="G15" s="28" t="s">
        <v>518</v>
      </c>
      <c r="H15" s="28" t="s">
        <v>518</v>
      </c>
      <c r="I15" s="28" t="s">
        <v>518</v>
      </c>
      <c r="J15" s="28" t="s">
        <v>518</v>
      </c>
      <c r="K15" s="28" t="s">
        <v>45</v>
      </c>
      <c r="L15" s="28" t="s">
        <v>45</v>
      </c>
      <c r="M15" s="29"/>
      <c r="N15" s="29"/>
      <c r="O15" s="29"/>
      <c r="P15" s="30"/>
      <c r="Q15" s="143" t="n">
        <v>47802</v>
      </c>
      <c r="R15" s="32" t="n">
        <v>45997</v>
      </c>
      <c r="S15" s="33" t="n">
        <v>18.5</v>
      </c>
      <c r="T15" s="34"/>
      <c r="U15" s="35" t="n">
        <v>57802</v>
      </c>
      <c r="V15" s="36" t="n">
        <v>46011</v>
      </c>
      <c r="W15" s="36" t="n">
        <v>46011</v>
      </c>
      <c r="X15" s="36" t="n">
        <v>46011</v>
      </c>
      <c r="Y15" s="37" t="n">
        <v>17.2</v>
      </c>
      <c r="Z15" s="38"/>
      <c r="AA15" s="39"/>
      <c r="AB15" s="39"/>
      <c r="AC15" s="40"/>
      <c r="AD15" s="41" t="n">
        <v>45654</v>
      </c>
      <c r="AE15" s="28" t="n">
        <v>0</v>
      </c>
      <c r="AF15" s="41" t="n">
        <v>45685</v>
      </c>
      <c r="AG15" s="28" t="n">
        <v>6</v>
      </c>
      <c r="AH15" s="37" t="n">
        <f aca="false">SUM(AE15,AG15)</f>
        <v>6</v>
      </c>
      <c r="AI15" s="42"/>
      <c r="AJ15" s="43" t="str">
        <f aca="false">IF(AND(S15&gt;=12,Y15&gt;=12,AH15&gt;=6),"да","нет")</f>
        <v>да</v>
      </c>
      <c r="AK15" s="2"/>
      <c r="AL15" s="37" t="n">
        <v>34</v>
      </c>
      <c r="AM15" s="23" t="n">
        <f aca="false">SUM(S15,Y15,AA15,AB15,AH15,AL15,AK15)</f>
        <v>75.7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472</v>
      </c>
      <c r="C16" s="27" t="s">
        <v>139</v>
      </c>
      <c r="D16" s="27" t="n">
        <v>312749</v>
      </c>
      <c r="E16" s="28" t="s">
        <v>518</v>
      </c>
      <c r="F16" s="28" t="s">
        <v>559</v>
      </c>
      <c r="G16" s="28" t="s">
        <v>559</v>
      </c>
      <c r="H16" s="28" t="s">
        <v>559</v>
      </c>
      <c r="I16" s="28" t="s">
        <v>45</v>
      </c>
      <c r="J16" s="28" t="s">
        <v>559</v>
      </c>
      <c r="K16" s="28" t="s">
        <v>45</v>
      </c>
      <c r="L16" s="28" t="s">
        <v>559</v>
      </c>
      <c r="M16" s="29"/>
      <c r="N16" s="29"/>
      <c r="O16" s="29"/>
      <c r="P16" s="30"/>
      <c r="Q16" s="31" t="n">
        <v>32749</v>
      </c>
      <c r="R16" s="144" t="s">
        <v>567</v>
      </c>
      <c r="S16" s="33" t="n">
        <v>19.5</v>
      </c>
      <c r="T16" s="34"/>
      <c r="U16" s="35" t="n">
        <v>42749</v>
      </c>
      <c r="V16" s="36" t="n">
        <v>46004</v>
      </c>
      <c r="W16" s="36" t="n">
        <v>46004</v>
      </c>
      <c r="X16" s="36" t="n">
        <v>46004</v>
      </c>
      <c r="Y16" s="37" t="n">
        <v>19.7</v>
      </c>
      <c r="Z16" s="38"/>
      <c r="AA16" s="39"/>
      <c r="AB16" s="39"/>
      <c r="AC16" s="40"/>
      <c r="AD16" s="41" t="n">
        <v>45654</v>
      </c>
      <c r="AE16" s="28" t="n">
        <v>10</v>
      </c>
      <c r="AF16" s="41"/>
      <c r="AG16" s="41"/>
      <c r="AH16" s="37" t="n">
        <f aca="false">SUM(AE16,AG16)</f>
        <v>10</v>
      </c>
      <c r="AI16" s="42"/>
      <c r="AJ16" s="43" t="str">
        <f aca="false">IF(AND(S16&gt;=12,Y16&gt;=12,AH16&gt;=6),"да","нет")</f>
        <v>да</v>
      </c>
      <c r="AK16" s="2"/>
      <c r="AL16" s="2" t="n">
        <v>40</v>
      </c>
      <c r="AM16" s="23" t="n">
        <f aca="false">SUM(S16,Y16,AA16,AB16,AH16,AL16,AK16)</f>
        <v>89.2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477</v>
      </c>
      <c r="C17" s="27" t="s">
        <v>139</v>
      </c>
      <c r="D17" s="27" t="n">
        <v>409804</v>
      </c>
      <c r="E17" s="28" t="s">
        <v>518</v>
      </c>
      <c r="F17" s="28" t="s">
        <v>518</v>
      </c>
      <c r="G17" s="28" t="s">
        <v>45</v>
      </c>
      <c r="H17" s="28" t="s">
        <v>518</v>
      </c>
      <c r="I17" s="28" t="s">
        <v>45</v>
      </c>
      <c r="J17" s="28" t="s">
        <v>518</v>
      </c>
      <c r="K17" s="28" t="s">
        <v>518</v>
      </c>
      <c r="L17" s="28" t="s">
        <v>518</v>
      </c>
      <c r="M17" s="29"/>
      <c r="N17" s="29"/>
      <c r="O17" s="29"/>
      <c r="P17" s="30"/>
      <c r="Q17" s="31" t="n">
        <v>49804</v>
      </c>
      <c r="R17" s="32"/>
      <c r="S17" s="33"/>
      <c r="T17" s="34"/>
      <c r="U17" s="35"/>
      <c r="V17" s="36"/>
      <c r="W17" s="36"/>
      <c r="X17" s="36"/>
      <c r="Y17" s="37"/>
      <c r="Z17" s="38"/>
      <c r="AA17" s="39"/>
      <c r="AB17" s="39"/>
      <c r="AC17" s="44"/>
      <c r="AD17" s="41"/>
      <c r="AE17" s="28"/>
      <c r="AF17" s="36"/>
      <c r="AG17" s="36"/>
      <c r="AH17" s="37" t="n">
        <f aca="false">SUM(AE17,AG17)</f>
        <v>0</v>
      </c>
      <c r="AI17" s="42"/>
      <c r="AJ17" s="43" t="str">
        <f aca="false">IF(AND(S17&gt;=12,Y17&gt;=12,AH17&gt;=6),"да","нет")</f>
        <v>нет</v>
      </c>
      <c r="AK17" s="2"/>
      <c r="AL17" s="2"/>
      <c r="AM17" s="23" t="n">
        <f aca="false">SUM(S17,Y17,AA17,AB17,AH17,AL17,AK17)</f>
        <v>0</v>
      </c>
      <c r="AN17" s="29" t="str">
        <f aca="false">IF(AND(S17&gt;=12,Y17&gt;=12,AH17&gt;=6,AL17&gt;=24,AM17&gt;=60),"Зачет","Незачет")</f>
        <v>Незачет</v>
      </c>
    </row>
    <row r="18" customFormat="false" ht="15.75" hidden="false" customHeight="false" outlineLevel="0" collapsed="false">
      <c r="A18" s="25" t="n">
        <v>16</v>
      </c>
      <c r="B18" s="26" t="s">
        <v>479</v>
      </c>
      <c r="C18" s="27" t="s">
        <v>139</v>
      </c>
      <c r="D18" s="27" t="n">
        <v>467968</v>
      </c>
      <c r="E18" s="28" t="s">
        <v>559</v>
      </c>
      <c r="F18" s="28" t="s">
        <v>518</v>
      </c>
      <c r="G18" s="28" t="s">
        <v>518</v>
      </c>
      <c r="H18" s="28" t="s">
        <v>45</v>
      </c>
      <c r="I18" s="28" t="s">
        <v>518</v>
      </c>
      <c r="J18" s="28" t="s">
        <v>45</v>
      </c>
      <c r="K18" s="28" t="s">
        <v>518</v>
      </c>
      <c r="L18" s="28" t="s">
        <v>45</v>
      </c>
      <c r="M18" s="29"/>
      <c r="N18" s="29"/>
      <c r="O18" s="29"/>
      <c r="P18" s="30"/>
      <c r="Q18" s="31" t="n">
        <v>47968</v>
      </c>
      <c r="R18" s="32" t="n">
        <v>45997</v>
      </c>
      <c r="S18" s="33" t="n">
        <v>16.8</v>
      </c>
      <c r="T18" s="34"/>
      <c r="U18" s="35" t="n">
        <v>57968</v>
      </c>
      <c r="V18" s="36" t="n">
        <v>46004</v>
      </c>
      <c r="W18" s="36" t="n">
        <v>46004</v>
      </c>
      <c r="X18" s="36" t="n">
        <v>46004</v>
      </c>
      <c r="Y18" s="37" t="n">
        <v>17</v>
      </c>
      <c r="Z18" s="38"/>
      <c r="AA18" s="39"/>
      <c r="AB18" s="39"/>
      <c r="AC18" s="40"/>
      <c r="AD18" s="41" t="n">
        <v>45649</v>
      </c>
      <c r="AE18" s="28" t="n">
        <v>0</v>
      </c>
      <c r="AF18" s="41" t="n">
        <v>45671</v>
      </c>
      <c r="AG18" s="28" t="n">
        <v>6</v>
      </c>
      <c r="AH18" s="37" t="n">
        <f aca="false">SUM(AE18,AG18)</f>
        <v>6</v>
      </c>
      <c r="AI18" s="42"/>
      <c r="AJ18" s="43" t="str">
        <f aca="false">IF(AND(S18&gt;=12,Y18&gt;=12,AH18&gt;=6),"да","нет")</f>
        <v>да</v>
      </c>
      <c r="AK18" s="2"/>
      <c r="AL18" s="2" t="n">
        <v>34</v>
      </c>
      <c r="AM18" s="23" t="n">
        <f aca="false">SUM(S18,Y18,AA18,AB18,AH18,AL18,AK18)</f>
        <v>73.8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487</v>
      </c>
      <c r="C19" s="27" t="s">
        <v>139</v>
      </c>
      <c r="D19" s="27" t="n">
        <v>468018</v>
      </c>
      <c r="E19" s="28" t="s">
        <v>559</v>
      </c>
      <c r="F19" s="28" t="s">
        <v>45</v>
      </c>
      <c r="G19" s="28" t="s">
        <v>45</v>
      </c>
      <c r="H19" s="28" t="s">
        <v>45</v>
      </c>
      <c r="I19" s="28" t="s">
        <v>518</v>
      </c>
      <c r="J19" s="28" t="s">
        <v>559</v>
      </c>
      <c r="K19" s="28" t="s">
        <v>45</v>
      </c>
      <c r="L19" s="28" t="s">
        <v>45</v>
      </c>
      <c r="M19" s="29"/>
      <c r="N19" s="29"/>
      <c r="O19" s="29"/>
      <c r="P19" s="30"/>
      <c r="Q19" s="31" t="n">
        <v>48018</v>
      </c>
      <c r="R19" s="102" t="n">
        <v>45611</v>
      </c>
      <c r="S19" s="33" t="n">
        <v>18.6</v>
      </c>
      <c r="T19" s="34"/>
      <c r="U19" s="35" t="n">
        <v>58018</v>
      </c>
      <c r="V19" s="36" t="n">
        <v>45997</v>
      </c>
      <c r="W19" s="36" t="n">
        <v>45997</v>
      </c>
      <c r="X19" s="36" t="n">
        <v>45997</v>
      </c>
      <c r="Y19" s="37" t="n">
        <v>18.7</v>
      </c>
      <c r="Z19" s="38"/>
      <c r="AA19" s="39"/>
      <c r="AB19" s="39"/>
      <c r="AC19" s="40"/>
      <c r="AD19" s="41" t="n">
        <v>45649</v>
      </c>
      <c r="AE19" s="28" t="n">
        <v>0</v>
      </c>
      <c r="AF19" s="41" t="n">
        <v>45671</v>
      </c>
      <c r="AG19" s="28" t="n">
        <v>6</v>
      </c>
      <c r="AH19" s="37" t="n">
        <f aca="false">SUM(AE19,AG19)</f>
        <v>6</v>
      </c>
      <c r="AI19" s="42"/>
      <c r="AJ19" s="43" t="str">
        <f aca="false">IF(AND(S19&gt;=12,Y19&gt;=12,AH19&gt;=6),"да","нет")</f>
        <v>да</v>
      </c>
      <c r="AK19" s="2"/>
      <c r="AL19" s="2" t="n">
        <v>36</v>
      </c>
      <c r="AM19" s="23" t="n">
        <f aca="false">SUM(S19,Y19,AA19,AB19,AH19,AL19,AK19)</f>
        <v>79.3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9"/>
      <c r="N20" s="29"/>
      <c r="O20" s="29"/>
      <c r="P20" s="30"/>
      <c r="Q20" s="46"/>
      <c r="R20" s="36"/>
      <c r="S20" s="37"/>
      <c r="T20" s="47"/>
      <c r="U20" s="2"/>
      <c r="V20" s="36"/>
      <c r="W20" s="36"/>
      <c r="X20" s="36"/>
      <c r="Y20" s="37"/>
      <c r="Z20" s="38"/>
      <c r="AA20" s="39"/>
      <c r="AB20" s="39"/>
      <c r="AC20" s="48"/>
      <c r="AD20" s="28"/>
      <c r="AE20" s="28"/>
      <c r="AF20" s="28"/>
      <c r="AG20" s="28"/>
      <c r="AH20" s="37" t="n">
        <f aca="false">SUM(AE20,AG20)</f>
        <v>0</v>
      </c>
      <c r="AI20" s="42"/>
      <c r="AJ20" s="43" t="str">
        <f aca="false">IF(AND(S20&gt;=12,Y20&gt;=12,AH20&gt;=6),"да","нет")</f>
        <v>нет</v>
      </c>
      <c r="AK20" s="2"/>
      <c r="AL20" s="2"/>
      <c r="AM20" s="23" t="n">
        <f aca="false">SUM(S20,Y20,AA20,AB20,AH20,AL20,AK20)</f>
        <v>0</v>
      </c>
      <c r="AN20" s="29" t="str">
        <f aca="false">IF(AND(S20&gt;=12,Y20&gt;=12,AH20&gt;=6,AL20&gt;=24,AM20&gt;=60),"Зачет","Незачет")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28"/>
      <c r="AH21" s="37" t="n">
        <f aca="false">SUM(AE21,AG21)</f>
        <v>0</v>
      </c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0</v>
      </c>
      <c r="G25" s="37" t="n">
        <f aca="false">COUNTIF(G$3:G$23, "~**")</f>
        <v>0</v>
      </c>
      <c r="H25" s="37" t="n">
        <f aca="false">COUNTIF(H$3:H$23, "~**")</f>
        <v>0</v>
      </c>
      <c r="I25" s="37" t="n">
        <f aca="false">COUNTIF(I$3:I$23, "~**")</f>
        <v>0</v>
      </c>
      <c r="J25" s="37" t="n">
        <f aca="false">COUNTIF(J$3:J$23, "~**")</f>
        <v>0</v>
      </c>
      <c r="K25" s="37" t="n">
        <f aca="false">COUNTIF(K$3:K$23, "~**")</f>
        <v>0</v>
      </c>
      <c r="L25" s="37" t="n">
        <f aca="false">COUNTIF(L$3:L$23, "~**")</f>
        <v>0</v>
      </c>
      <c r="M25" s="54" t="n">
        <f aca="false">COUNTIF(M$3:M$23, "~**")</f>
        <v>0</v>
      </c>
      <c r="N25" s="54" t="n">
        <f aca="false">COUNTIF(N$3:N$23, "~**")</f>
        <v>0</v>
      </c>
      <c r="O25" s="54" t="n">
        <f aca="false">COUNTIF(O$3:O$23, "~**")</f>
        <v>0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6</v>
      </c>
      <c r="F26" s="37" t="n">
        <f aca="false">COUNTIF(F$3:F$23, "~**")+COUNTIF(F$3:F$23, "Y")</f>
        <v>13</v>
      </c>
      <c r="G26" s="37" t="n">
        <f aca="false">COUNTIF(G$3:G$23, "~**")+COUNTIF(G$3:G$23, "Y")</f>
        <v>12</v>
      </c>
      <c r="H26" s="37" t="n">
        <f aca="false">COUNTIF(H$3:H$23, "~**")+COUNTIF(H$3:H$23, "Y")</f>
        <v>9</v>
      </c>
      <c r="I26" s="37" t="n">
        <f aca="false">COUNTIF(I$3:I$23, "~**")+COUNTIF(I$3:I$23, "Y")</f>
        <v>7</v>
      </c>
      <c r="J26" s="37" t="n">
        <f aca="false">COUNTIF(J$3:J$23, "~**")+COUNTIF(J$3:J$23, "Y")</f>
        <v>2</v>
      </c>
      <c r="K26" s="37" t="n">
        <f aca="false">COUNTIF(K$3:K$23, "~**")+COUNTIF(K$3:K$23, "Y")</f>
        <v>3</v>
      </c>
      <c r="L26" s="37" t="n">
        <f aca="false">COUNTIF(L$3:L$23, "~**")+COUNTIF(L$3:L$23, "Y")</f>
        <v>11</v>
      </c>
      <c r="M26" s="54" t="n">
        <f aca="false">COUNTIF(M$3:M$23, "~**")+COUNTIF(M$3:M$23, "Y")</f>
        <v>0</v>
      </c>
      <c r="N26" s="54" t="n">
        <f aca="false">COUNTIF(N$3:N$23, "~**")+COUNTIF(N$3:N$23, "Y")</f>
        <v>0</v>
      </c>
      <c r="O26" s="54" t="n">
        <f aca="false">COUNTIF(O$3:O$23, "~**")+COUNTIF(O$3:O$23, "Y")</f>
        <v>0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0.8823529412</v>
      </c>
      <c r="T28" s="62"/>
      <c r="U28" s="61"/>
      <c r="V28" s="61"/>
      <c r="W28" s="61"/>
      <c r="X28" s="61"/>
      <c r="Y28" s="61" t="n">
        <f aca="false">IFERROR(COUNTA(Y$3:Y23)/COUNTA($B$3:$B$23), 0)</f>
        <v>0.8823529412</v>
      </c>
      <c r="Z28" s="63"/>
      <c r="AA28" s="2"/>
      <c r="AB28" s="2"/>
      <c r="AC28" s="57"/>
      <c r="AE28" s="61" t="n">
        <f aca="false">IFERROR(COUNTIF(AE$3:AE23, "&gt;0")/COUNTA($B$3:$B$22), 0)</f>
        <v>0.3529411765</v>
      </c>
      <c r="AG28" s="61" t="n">
        <f aca="false">IFERROR(COUNTIF(AG$3:AG23, "&gt;0")/COUNTA($B$3:$B$22), 0)</f>
        <v>0.529411764705882</v>
      </c>
      <c r="AH28" s="61" t="n">
        <f aca="false">IFERROR(COUNTIF(AH$3:AH23, "&gt;0")/COUNTA($B$3:$B$22), 0)</f>
        <v>0.882352941176471</v>
      </c>
      <c r="AI28" s="64"/>
      <c r="AJ28" s="65"/>
      <c r="AK28" s="2"/>
      <c r="AL28" s="61" t="n">
        <f aca="false">IFERROR(COUNTIF(AL$3:AL23, "&gt;24")/COUNTA($B$3:$B$22), 0)</f>
        <v>0.8823529412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:S23 Y3:AB23 AH3:AH23 AK3:AL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3">
    <cfRule type="expression" priority="7" aboveAverage="0" equalAverage="0" bottom="0" percent="0" rank="0" text="" dxfId="5">
      <formula>R3&gt;45230</formula>
    </cfRule>
  </conditionalFormatting>
  <conditionalFormatting sqref="V3:X23 AC3:AG23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0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9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45562</v>
      </c>
      <c r="F2" s="15" t="n">
        <f aca="false">E2+14</f>
        <v>45576</v>
      </c>
      <c r="G2" s="15" t="n">
        <f aca="false">F2+14</f>
        <v>45590</v>
      </c>
      <c r="H2" s="15" t="n">
        <f aca="false">G2+14</f>
        <v>45604</v>
      </c>
      <c r="I2" s="15" t="n">
        <f aca="false">H2+14</f>
        <v>45618</v>
      </c>
      <c r="J2" s="15" t="n">
        <f aca="false">I2+14</f>
        <v>45632</v>
      </c>
      <c r="K2" s="15" t="n">
        <f aca="false">J2+14</f>
        <v>45646</v>
      </c>
      <c r="L2" s="15" t="n">
        <f aca="false">K2+14</f>
        <v>45660</v>
      </c>
      <c r="M2" s="16"/>
      <c r="N2" s="17"/>
      <c r="O2" s="17"/>
      <c r="P2" s="18"/>
      <c r="Q2" s="19" t="s">
        <v>17</v>
      </c>
      <c r="R2" s="20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9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88</v>
      </c>
      <c r="C3" s="27" t="s">
        <v>89</v>
      </c>
      <c r="D3" s="27" t="n">
        <v>464905</v>
      </c>
      <c r="E3" s="28" t="s">
        <v>45</v>
      </c>
      <c r="F3" s="28" t="s">
        <v>518</v>
      </c>
      <c r="G3" s="28" t="s">
        <v>45</v>
      </c>
      <c r="H3" s="28" t="s">
        <v>45</v>
      </c>
      <c r="I3" s="28" t="s">
        <v>518</v>
      </c>
      <c r="J3" s="28"/>
      <c r="K3" s="28"/>
      <c r="L3" s="28"/>
      <c r="M3" s="29"/>
      <c r="N3" s="29"/>
      <c r="O3" s="29"/>
      <c r="P3" s="30"/>
      <c r="Q3" s="31" t="n">
        <v>3478</v>
      </c>
      <c r="R3" s="39" t="n">
        <v>8.11</v>
      </c>
      <c r="S3" s="33" t="n">
        <v>17</v>
      </c>
      <c r="T3" s="34"/>
      <c r="U3" s="35" t="n">
        <v>3547</v>
      </c>
      <c r="V3" s="36" t="n">
        <v>45632</v>
      </c>
      <c r="W3" s="77" t="n">
        <v>45632</v>
      </c>
      <c r="X3" s="36" t="n">
        <v>45632</v>
      </c>
      <c r="Y3" s="37" t="n">
        <v>19</v>
      </c>
      <c r="Z3" s="38"/>
      <c r="AA3" s="39"/>
      <c r="AB3" s="39"/>
      <c r="AC3" s="40"/>
      <c r="AD3" s="41" t="n">
        <v>46014</v>
      </c>
      <c r="AE3" s="28" t="n">
        <v>10</v>
      </c>
      <c r="AF3" s="41"/>
      <c r="AG3" s="41"/>
      <c r="AH3" s="37" t="n">
        <f aca="false">SUM(AE3,AG3)</f>
        <v>10</v>
      </c>
      <c r="AI3" s="42"/>
      <c r="AJ3" s="43" t="str">
        <f aca="false">IF(AND(S3&gt;=12,Y3&gt;=12,AH3&gt;=6),"да","нет")</f>
        <v>да</v>
      </c>
      <c r="AK3" s="2"/>
      <c r="AL3" s="2" t="n">
        <v>40</v>
      </c>
      <c r="AM3" s="23" t="n">
        <f aca="false">SUM(S3,Y3,AA3,AB3,AH3,AL3,AK3)</f>
        <v>86</v>
      </c>
      <c r="AN3" s="29" t="str">
        <f aca="false">IF(AND(S3&gt;=12,Y3&gt;=12,AH3&gt;=6,AL3&gt;=24,AM3&gt;=60),"Зачет","Незачет")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105</v>
      </c>
      <c r="C4" s="27" t="s">
        <v>89</v>
      </c>
      <c r="D4" s="27" t="n">
        <v>465029</v>
      </c>
      <c r="E4" s="28" t="s">
        <v>45</v>
      </c>
      <c r="F4" s="28" t="s">
        <v>45</v>
      </c>
      <c r="G4" s="28" t="s">
        <v>45</v>
      </c>
      <c r="H4" s="28" t="s">
        <v>45</v>
      </c>
      <c r="I4" s="28" t="s">
        <v>45</v>
      </c>
      <c r="J4" s="28"/>
      <c r="K4" s="28"/>
      <c r="L4" s="28"/>
      <c r="M4" s="29"/>
      <c r="N4" s="29"/>
      <c r="O4" s="29"/>
      <c r="P4" s="30"/>
      <c r="Q4" s="31" t="n">
        <v>3274</v>
      </c>
      <c r="R4" s="39" t="n">
        <v>2.11</v>
      </c>
      <c r="S4" s="33" t="n">
        <v>17</v>
      </c>
      <c r="T4" s="34"/>
      <c r="U4" s="35" t="n">
        <v>7347</v>
      </c>
      <c r="V4" s="36" t="n">
        <v>45646</v>
      </c>
      <c r="W4" s="28" t="s">
        <v>519</v>
      </c>
      <c r="X4" s="36" t="n">
        <v>45646</v>
      </c>
      <c r="Y4" s="37" t="n">
        <v>19</v>
      </c>
      <c r="Z4" s="38"/>
      <c r="AA4" s="39"/>
      <c r="AB4" s="39"/>
      <c r="AC4" s="40"/>
      <c r="AD4" s="41" t="n">
        <v>45675</v>
      </c>
      <c r="AE4" s="28" t="n">
        <v>6</v>
      </c>
      <c r="AF4" s="41"/>
      <c r="AG4" s="41"/>
      <c r="AH4" s="37" t="n">
        <f aca="false">SUM(AE4,AG4)</f>
        <v>6</v>
      </c>
      <c r="AI4" s="42"/>
      <c r="AJ4" s="43" t="str">
        <f aca="false">IF(AND(S4&gt;=12,Y4&gt;=12,AH4&gt;=6),"да","нет")</f>
        <v>да</v>
      </c>
      <c r="AK4" s="2"/>
      <c r="AL4" s="2" t="n">
        <v>40</v>
      </c>
      <c r="AM4" s="23" t="n">
        <f aca="false">SUM(S4,Y4,AA4,AB4,AH4,AL4,AK4)</f>
        <v>82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111</v>
      </c>
      <c r="C5" s="27" t="s">
        <v>89</v>
      </c>
      <c r="D5" s="27" t="n">
        <v>471733</v>
      </c>
      <c r="E5" s="28" t="s">
        <v>45</v>
      </c>
      <c r="F5" s="28" t="s">
        <v>45</v>
      </c>
      <c r="G5" s="28" t="s">
        <v>45</v>
      </c>
      <c r="H5" s="28" t="s">
        <v>45</v>
      </c>
      <c r="I5" s="28" t="s">
        <v>45</v>
      </c>
      <c r="J5" s="28"/>
      <c r="K5" s="28"/>
      <c r="L5" s="28"/>
      <c r="M5" s="29"/>
      <c r="N5" s="29"/>
      <c r="O5" s="29"/>
      <c r="P5" s="30"/>
      <c r="Q5" s="31" t="n">
        <v>2738</v>
      </c>
      <c r="R5" s="39" t="n">
        <v>22.11</v>
      </c>
      <c r="S5" s="33" t="n">
        <v>18</v>
      </c>
      <c r="T5" s="34"/>
      <c r="U5" s="35" t="n">
        <v>7437</v>
      </c>
      <c r="V5" s="36" t="n">
        <v>45646</v>
      </c>
      <c r="W5" s="41" t="n">
        <v>45646</v>
      </c>
      <c r="X5" s="36" t="n">
        <v>45646</v>
      </c>
      <c r="Y5" s="37" t="n">
        <v>20</v>
      </c>
      <c r="Z5" s="38"/>
      <c r="AA5" s="39"/>
      <c r="AB5" s="39"/>
      <c r="AC5" s="44"/>
      <c r="AD5" s="36" t="n">
        <v>46014</v>
      </c>
      <c r="AE5" s="28" t="n">
        <v>10</v>
      </c>
      <c r="AF5" s="36"/>
      <c r="AG5" s="36"/>
      <c r="AH5" s="37" t="n">
        <f aca="false">SUM(AE5,AG5)</f>
        <v>10</v>
      </c>
      <c r="AI5" s="42"/>
      <c r="AJ5" s="43" t="str">
        <f aca="false">IF(AND(S5&gt;=12,Y5&gt;=12,AH5&gt;=6),"да","нет")</f>
        <v>да</v>
      </c>
      <c r="AK5" s="2"/>
      <c r="AL5" s="2" t="n">
        <v>40</v>
      </c>
      <c r="AM5" s="23" t="n">
        <f aca="false">SUM(S5,Y5,AA5,AB5,AH5,AL5,AK5)</f>
        <v>88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142</v>
      </c>
      <c r="C6" s="27" t="s">
        <v>89</v>
      </c>
      <c r="D6" s="27" t="n">
        <v>465439</v>
      </c>
      <c r="E6" s="28" t="s">
        <v>45</v>
      </c>
      <c r="F6" s="28" t="s">
        <v>45</v>
      </c>
      <c r="G6" s="28" t="s">
        <v>45</v>
      </c>
      <c r="H6" s="28" t="s">
        <v>45</v>
      </c>
      <c r="I6" s="28" t="s">
        <v>45</v>
      </c>
      <c r="J6" s="28"/>
      <c r="K6" s="28"/>
      <c r="L6" s="28"/>
      <c r="M6" s="29"/>
      <c r="N6" s="29"/>
      <c r="O6" s="29"/>
      <c r="P6" s="30"/>
      <c r="Q6" s="31" t="n">
        <v>3284</v>
      </c>
      <c r="R6" s="39" t="n">
        <v>22.11</v>
      </c>
      <c r="S6" s="33" t="n">
        <v>18</v>
      </c>
      <c r="T6" s="34"/>
      <c r="U6" s="35" t="n">
        <v>7447</v>
      </c>
      <c r="V6" s="36" t="n">
        <v>45646</v>
      </c>
      <c r="W6" s="41" t="n">
        <v>45646</v>
      </c>
      <c r="X6" s="36" t="n">
        <v>45646</v>
      </c>
      <c r="Y6" s="37" t="n">
        <v>19</v>
      </c>
      <c r="Z6" s="38"/>
      <c r="AA6" s="39"/>
      <c r="AB6" s="39"/>
      <c r="AC6" s="44"/>
      <c r="AD6" s="36" t="n">
        <v>46014</v>
      </c>
      <c r="AE6" s="28" t="n">
        <v>10</v>
      </c>
      <c r="AF6" s="36"/>
      <c r="AG6" s="36"/>
      <c r="AH6" s="37" t="n">
        <f aca="false">SUM(AE6,AG6)</f>
        <v>10</v>
      </c>
      <c r="AI6" s="42"/>
      <c r="AJ6" s="43" t="str">
        <f aca="false">IF(AND(S6&gt;=12,Y6&gt;=12,AH6&gt;=6),"да","нет")</f>
        <v>да</v>
      </c>
      <c r="AK6" s="2"/>
      <c r="AL6" s="2" t="n">
        <v>40</v>
      </c>
      <c r="AM6" s="23" t="n">
        <f aca="false">SUM(S6,Y6,AA6,AB6,AH6,AL6,AK6)</f>
        <v>87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234</v>
      </c>
      <c r="C7" s="27" t="s">
        <v>89</v>
      </c>
      <c r="D7" s="27" t="n">
        <v>408809</v>
      </c>
      <c r="E7" s="28" t="s">
        <v>518</v>
      </c>
      <c r="F7" s="28" t="s">
        <v>518</v>
      </c>
      <c r="G7" s="28" t="s">
        <v>518</v>
      </c>
      <c r="H7" s="28" t="s">
        <v>518</v>
      </c>
      <c r="I7" s="28" t="s">
        <v>518</v>
      </c>
      <c r="J7" s="28"/>
      <c r="K7" s="28"/>
      <c r="L7" s="28"/>
      <c r="M7" s="29"/>
      <c r="N7" s="29"/>
      <c r="O7" s="29"/>
      <c r="P7" s="30"/>
      <c r="Q7" s="31" t="n">
        <v>2947</v>
      </c>
      <c r="R7" s="32"/>
      <c r="S7" s="33"/>
      <c r="T7" s="34"/>
      <c r="U7" s="35"/>
      <c r="V7" s="36"/>
      <c r="W7" s="36"/>
      <c r="X7" s="36"/>
      <c r="Y7" s="37"/>
      <c r="Z7" s="38"/>
      <c r="AA7" s="39"/>
      <c r="AB7" s="39"/>
      <c r="AC7" s="40"/>
      <c r="AD7" s="41"/>
      <c r="AE7" s="41"/>
      <c r="AF7" s="41"/>
      <c r="AG7" s="41"/>
      <c r="AH7" s="37" t="n">
        <f aca="false">SUM(AE7,AG7)</f>
        <v>0</v>
      </c>
      <c r="AI7" s="42"/>
      <c r="AJ7" s="43" t="str">
        <f aca="false">IF(AND(S7&gt;=12,Y7&gt;=12,AH7&gt;=6),"да","нет")</f>
        <v>нет</v>
      </c>
      <c r="AK7" s="2"/>
      <c r="AL7" s="2"/>
      <c r="AM7" s="23" t="n">
        <f aca="false">SUM(S7,Y7,AA7,AB7,AH7,AL7,AK7)</f>
        <v>0</v>
      </c>
      <c r="AN7" s="29" t="str">
        <f aca="false">IF(AND(S7&gt;=12,Y7&gt;=12,AH7&gt;=6,AL7&gt;=24,AM7&gt;=60),"Зачет","Незачет")</f>
        <v>Незачет</v>
      </c>
    </row>
    <row r="8" customFormat="false" ht="15.75" hidden="false" customHeight="false" outlineLevel="0" collapsed="false">
      <c r="A8" s="25" t="n">
        <v>6</v>
      </c>
      <c r="B8" s="26" t="s">
        <v>242</v>
      </c>
      <c r="C8" s="27" t="s">
        <v>89</v>
      </c>
      <c r="D8" s="27" t="n">
        <v>466300</v>
      </c>
      <c r="E8" s="28" t="s">
        <v>45</v>
      </c>
      <c r="F8" s="28" t="s">
        <v>45</v>
      </c>
      <c r="G8" s="28" t="s">
        <v>45</v>
      </c>
      <c r="H8" s="28" t="s">
        <v>45</v>
      </c>
      <c r="I8" s="28" t="s">
        <v>518</v>
      </c>
      <c r="J8" s="28"/>
      <c r="K8" s="28"/>
      <c r="L8" s="28"/>
      <c r="M8" s="29"/>
      <c r="N8" s="29"/>
      <c r="O8" s="29"/>
      <c r="P8" s="30"/>
      <c r="Q8" s="31" t="n">
        <v>3924</v>
      </c>
      <c r="R8" s="39" t="n">
        <v>8.11</v>
      </c>
      <c r="S8" s="33" t="n">
        <v>18</v>
      </c>
      <c r="T8" s="34"/>
      <c r="U8" s="35" t="n">
        <v>7986</v>
      </c>
      <c r="V8" s="36" t="n">
        <v>46014</v>
      </c>
      <c r="W8" s="36" t="n">
        <v>46014</v>
      </c>
      <c r="X8" s="36" t="n">
        <v>46014</v>
      </c>
      <c r="Y8" s="37" t="n">
        <v>12</v>
      </c>
      <c r="Z8" s="38"/>
      <c r="AA8" s="39"/>
      <c r="AB8" s="39"/>
      <c r="AC8" s="40"/>
      <c r="AD8" s="41" t="n">
        <v>46014</v>
      </c>
      <c r="AE8" s="28" t="n">
        <v>8</v>
      </c>
      <c r="AF8" s="41"/>
      <c r="AG8" s="41"/>
      <c r="AH8" s="37" t="n">
        <f aca="false">SUM(AE8,AG8)</f>
        <v>8</v>
      </c>
      <c r="AI8" s="42"/>
      <c r="AJ8" s="43" t="str">
        <f aca="false">IF(AND(S8&gt;=12,Y8&gt;=12,AH8&gt;=6),"да","нет")</f>
        <v>да</v>
      </c>
      <c r="AK8" s="2"/>
      <c r="AL8" s="2" t="n">
        <v>30</v>
      </c>
      <c r="AM8" s="23" t="n">
        <f aca="false">SUM(S8,Y8,AA8,AB8,AH8,AL8,AK8)</f>
        <v>68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294</v>
      </c>
      <c r="C9" s="27" t="s">
        <v>89</v>
      </c>
      <c r="D9" s="27" t="n">
        <v>434931</v>
      </c>
      <c r="E9" s="28" t="s">
        <v>45</v>
      </c>
      <c r="F9" s="28" t="s">
        <v>45</v>
      </c>
      <c r="G9" s="28" t="s">
        <v>45</v>
      </c>
      <c r="H9" s="28" t="s">
        <v>45</v>
      </c>
      <c r="I9" s="28" t="s">
        <v>45</v>
      </c>
      <c r="J9" s="28"/>
      <c r="K9" s="28"/>
      <c r="L9" s="28"/>
      <c r="M9" s="29"/>
      <c r="N9" s="29"/>
      <c r="O9" s="29"/>
      <c r="P9" s="30"/>
      <c r="Q9" s="31" t="n">
        <v>9867</v>
      </c>
      <c r="R9" s="39" t="n">
        <v>22.11</v>
      </c>
      <c r="S9" s="33" t="n">
        <v>20</v>
      </c>
      <c r="T9" s="34"/>
      <c r="U9" s="35" t="n">
        <v>7538</v>
      </c>
      <c r="V9" s="36" t="n">
        <v>45646</v>
      </c>
      <c r="W9" s="28" t="s">
        <v>519</v>
      </c>
      <c r="X9" s="36" t="n">
        <v>45646</v>
      </c>
      <c r="Y9" s="37" t="n">
        <v>18</v>
      </c>
      <c r="Z9" s="38"/>
      <c r="AA9" s="39"/>
      <c r="AB9" s="39"/>
      <c r="AC9" s="44"/>
      <c r="AD9" s="36" t="n">
        <v>45675</v>
      </c>
      <c r="AE9" s="28" t="n">
        <v>6</v>
      </c>
      <c r="AF9" s="36"/>
      <c r="AG9" s="36"/>
      <c r="AH9" s="37" t="n">
        <f aca="false">SUM(AE9,AG9)</f>
        <v>6</v>
      </c>
      <c r="AI9" s="42"/>
      <c r="AJ9" s="43" t="str">
        <f aca="false">IF(AND(S9&gt;=12,Y9&gt;=12,AH9&gt;=6),"да","нет")</f>
        <v>да</v>
      </c>
      <c r="AK9" s="2"/>
      <c r="AL9" s="2" t="n">
        <v>40</v>
      </c>
      <c r="AM9" s="23" t="n">
        <f aca="false">SUM(S9,Y9,AA9,AB9,AH9,AL9,AK9)</f>
        <v>84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300</v>
      </c>
      <c r="C10" s="27" t="s">
        <v>89</v>
      </c>
      <c r="D10" s="27" t="n">
        <v>466668</v>
      </c>
      <c r="E10" s="28" t="s">
        <v>45</v>
      </c>
      <c r="F10" s="28" t="s">
        <v>45</v>
      </c>
      <c r="G10" s="28" t="s">
        <v>45</v>
      </c>
      <c r="H10" s="28" t="s">
        <v>45</v>
      </c>
      <c r="I10" s="28" t="s">
        <v>45</v>
      </c>
      <c r="J10" s="28"/>
      <c r="K10" s="28"/>
      <c r="L10" s="28"/>
      <c r="M10" s="29"/>
      <c r="N10" s="29"/>
      <c r="O10" s="29"/>
      <c r="P10" s="30"/>
      <c r="Q10" s="31" t="n">
        <v>4383</v>
      </c>
      <c r="R10" s="39" t="n">
        <v>6.12</v>
      </c>
      <c r="S10" s="145" t="s">
        <v>568</v>
      </c>
      <c r="T10" s="34"/>
      <c r="U10" s="35" t="n">
        <v>2421</v>
      </c>
      <c r="V10" s="36" t="n">
        <v>45646</v>
      </c>
      <c r="W10" s="36" t="n">
        <v>45646</v>
      </c>
      <c r="X10" s="36" t="n">
        <v>45646</v>
      </c>
      <c r="Y10" s="37" t="n">
        <v>18.5</v>
      </c>
      <c r="Z10" s="38"/>
      <c r="AA10" s="39"/>
      <c r="AB10" s="39"/>
      <c r="AC10" s="40"/>
      <c r="AD10" s="41" t="n">
        <v>45675</v>
      </c>
      <c r="AE10" s="28" t="n">
        <v>6</v>
      </c>
      <c r="AF10" s="41"/>
      <c r="AG10" s="41"/>
      <c r="AH10" s="37" t="n">
        <f aca="false">SUM(AE10,AG10)</f>
        <v>6</v>
      </c>
      <c r="AI10" s="42"/>
      <c r="AJ10" s="43" t="str">
        <f aca="false">IF(AND(S10&gt;=12,Y10&gt;=12,AH10&gt;=6),"да","нет")</f>
        <v>да</v>
      </c>
      <c r="AK10" s="2"/>
      <c r="AL10" s="2" t="n">
        <v>39</v>
      </c>
      <c r="AM10" s="23" t="n">
        <f aca="false">SUM(S10,Y10,AA10,AB10,AH10,AL10,AK10)</f>
        <v>63.5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342</v>
      </c>
      <c r="C11" s="27" t="s">
        <v>89</v>
      </c>
      <c r="D11" s="27" t="n">
        <v>466972</v>
      </c>
      <c r="E11" s="28" t="s">
        <v>518</v>
      </c>
      <c r="F11" s="28" t="s">
        <v>45</v>
      </c>
      <c r="G11" s="28" t="s">
        <v>45</v>
      </c>
      <c r="H11" s="28" t="s">
        <v>45</v>
      </c>
      <c r="I11" s="28" t="s">
        <v>45</v>
      </c>
      <c r="J11" s="28"/>
      <c r="K11" s="28"/>
      <c r="L11" s="28"/>
      <c r="M11" s="29"/>
      <c r="N11" s="29"/>
      <c r="O11" s="29"/>
      <c r="P11" s="30"/>
      <c r="Q11" s="31" t="n">
        <v>3765</v>
      </c>
      <c r="R11" s="39" t="n">
        <v>8.11</v>
      </c>
      <c r="S11" s="33" t="n">
        <v>20</v>
      </c>
      <c r="T11" s="34"/>
      <c r="U11" s="35" t="n">
        <v>9864</v>
      </c>
      <c r="V11" s="28" t="n">
        <v>22.11</v>
      </c>
      <c r="W11" s="28" t="n">
        <v>22.11</v>
      </c>
      <c r="X11" s="28" t="n">
        <v>6.12</v>
      </c>
      <c r="Y11" s="37" t="n">
        <v>20</v>
      </c>
      <c r="Z11" s="38"/>
      <c r="AA11" s="39"/>
      <c r="AB11" s="39"/>
      <c r="AC11" s="40"/>
      <c r="AD11" s="41" t="n">
        <v>46014</v>
      </c>
      <c r="AE11" s="28" t="n">
        <v>10</v>
      </c>
      <c r="AF11" s="41"/>
      <c r="AG11" s="41"/>
      <c r="AH11" s="37" t="n">
        <f aca="false">SUM(AE11,AG11)</f>
        <v>10</v>
      </c>
      <c r="AI11" s="42"/>
      <c r="AJ11" s="43" t="str">
        <f aca="false">IF(AND(S11&gt;=12,Y11&gt;=12,AH11&gt;=6),"да","нет")</f>
        <v>да</v>
      </c>
      <c r="AK11" s="2" t="n">
        <v>3</v>
      </c>
      <c r="AL11" s="2" t="n">
        <v>40</v>
      </c>
      <c r="AM11" s="23" t="n">
        <f aca="false">SUM(S11,Y11,AA11,AB11,AH11,AL11,AK11)</f>
        <v>93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353</v>
      </c>
      <c r="C12" s="27" t="s">
        <v>89</v>
      </c>
      <c r="D12" s="27" t="n">
        <v>467088</v>
      </c>
      <c r="E12" s="28" t="s">
        <v>45</v>
      </c>
      <c r="F12" s="28" t="s">
        <v>45</v>
      </c>
      <c r="G12" s="28" t="s">
        <v>45</v>
      </c>
      <c r="H12" s="28" t="s">
        <v>45</v>
      </c>
      <c r="I12" s="28" t="s">
        <v>45</v>
      </c>
      <c r="J12" s="28"/>
      <c r="K12" s="28"/>
      <c r="L12" s="28"/>
      <c r="M12" s="29"/>
      <c r="N12" s="29"/>
      <c r="O12" s="29"/>
      <c r="P12" s="30"/>
      <c r="Q12" s="31" t="n">
        <v>4765</v>
      </c>
      <c r="R12" s="39" t="n">
        <v>6.12</v>
      </c>
      <c r="S12" s="33" t="n">
        <v>16</v>
      </c>
      <c r="T12" s="34"/>
      <c r="U12" s="35" t="n">
        <v>2345</v>
      </c>
      <c r="V12" s="36" t="n">
        <v>45646</v>
      </c>
      <c r="W12" s="28" t="s">
        <v>519</v>
      </c>
      <c r="X12" s="36" t="n">
        <v>45646</v>
      </c>
      <c r="Y12" s="37" t="n">
        <v>18</v>
      </c>
      <c r="Z12" s="38"/>
      <c r="AA12" s="39"/>
      <c r="AB12" s="39"/>
      <c r="AC12" s="40"/>
      <c r="AD12" s="41" t="n">
        <v>45675</v>
      </c>
      <c r="AE12" s="28" t="n">
        <v>6</v>
      </c>
      <c r="AF12" s="41"/>
      <c r="AG12" s="41"/>
      <c r="AH12" s="37" t="n">
        <f aca="false">SUM(AE12,AG12)</f>
        <v>6</v>
      </c>
      <c r="AI12" s="42"/>
      <c r="AJ12" s="43" t="str">
        <f aca="false">IF(AND(S12&gt;=12,Y12&gt;=12,AH12&gt;=6),"да","нет")</f>
        <v>да</v>
      </c>
      <c r="AK12" s="2"/>
      <c r="AL12" s="2" t="n">
        <v>32</v>
      </c>
      <c r="AM12" s="23" t="n">
        <f aca="false">SUM(S12,Y12,AA12,AB12,AH12,AL12,AK12)</f>
        <v>72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409</v>
      </c>
      <c r="C13" s="27" t="s">
        <v>89</v>
      </c>
      <c r="D13" s="27" t="n">
        <v>467464</v>
      </c>
      <c r="E13" s="28" t="s">
        <v>45</v>
      </c>
      <c r="F13" s="28" t="s">
        <v>45</v>
      </c>
      <c r="G13" s="28" t="s">
        <v>45</v>
      </c>
      <c r="H13" s="28" t="s">
        <v>45</v>
      </c>
      <c r="I13" s="28" t="s">
        <v>45</v>
      </c>
      <c r="J13" s="28"/>
      <c r="K13" s="28"/>
      <c r="L13" s="28"/>
      <c r="M13" s="29"/>
      <c r="N13" s="29"/>
      <c r="O13" s="29"/>
      <c r="P13" s="30"/>
      <c r="Q13" s="31" t="n">
        <v>2689</v>
      </c>
      <c r="R13" s="39" t="n">
        <v>22.11</v>
      </c>
      <c r="S13" s="33" t="n">
        <v>17</v>
      </c>
      <c r="T13" s="34"/>
      <c r="U13" s="35" t="n">
        <v>8439</v>
      </c>
      <c r="V13" s="36" t="n">
        <v>45646</v>
      </c>
      <c r="W13" s="28" t="s">
        <v>519</v>
      </c>
      <c r="X13" s="36" t="n">
        <v>45646</v>
      </c>
      <c r="Y13" s="37" t="n">
        <v>19</v>
      </c>
      <c r="Z13" s="38"/>
      <c r="AA13" s="39"/>
      <c r="AB13" s="39"/>
      <c r="AC13" s="40"/>
      <c r="AD13" s="41" t="n">
        <v>46014</v>
      </c>
      <c r="AE13" s="28" t="n">
        <v>6</v>
      </c>
      <c r="AF13" s="41"/>
      <c r="AG13" s="41"/>
      <c r="AH13" s="37" t="n">
        <f aca="false">SUM(AE13,AG13)</f>
        <v>6</v>
      </c>
      <c r="AI13" s="42"/>
      <c r="AJ13" s="43" t="str">
        <f aca="false">IF(AND(S13&gt;=12,Y13&gt;=12,AH13&gt;=6),"да","нет")</f>
        <v>да</v>
      </c>
      <c r="AK13" s="2"/>
      <c r="AL13" s="2" t="n">
        <v>40</v>
      </c>
      <c r="AM13" s="23" t="n">
        <f aca="false">SUM(S13,Y13,AA13,AB13,AH13,AL13,AK13)</f>
        <v>82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418</v>
      </c>
      <c r="C14" s="27" t="s">
        <v>89</v>
      </c>
      <c r="D14" s="27" t="n">
        <v>467509</v>
      </c>
      <c r="E14" s="28" t="s">
        <v>45</v>
      </c>
      <c r="F14" s="28" t="s">
        <v>45</v>
      </c>
      <c r="G14" s="28" t="s">
        <v>45</v>
      </c>
      <c r="H14" s="28" t="s">
        <v>45</v>
      </c>
      <c r="I14" s="28" t="s">
        <v>45</v>
      </c>
      <c r="J14" s="28"/>
      <c r="K14" s="28"/>
      <c r="L14" s="28"/>
      <c r="M14" s="29"/>
      <c r="N14" s="29"/>
      <c r="O14" s="29"/>
      <c r="P14" s="30"/>
      <c r="Q14" s="31" t="n">
        <v>4365</v>
      </c>
      <c r="R14" s="39" t="n">
        <v>6.12</v>
      </c>
      <c r="S14" s="33" t="n">
        <v>19</v>
      </c>
      <c r="T14" s="34"/>
      <c r="U14" s="35" t="n">
        <v>3462</v>
      </c>
      <c r="V14" s="36" t="n">
        <v>45646</v>
      </c>
      <c r="W14" s="28" t="s">
        <v>519</v>
      </c>
      <c r="X14" s="36" t="n">
        <v>45646</v>
      </c>
      <c r="Y14" s="37" t="n">
        <v>16</v>
      </c>
      <c r="Z14" s="38"/>
      <c r="AA14" s="39"/>
      <c r="AB14" s="39"/>
      <c r="AC14" s="40"/>
      <c r="AD14" s="41" t="n">
        <v>45675</v>
      </c>
      <c r="AE14" s="28" t="n">
        <v>6</v>
      </c>
      <c r="AF14" s="41"/>
      <c r="AG14" s="41"/>
      <c r="AH14" s="37" t="n">
        <f aca="false">SUM(AE14,AG14)</f>
        <v>6</v>
      </c>
      <c r="AI14" s="42"/>
      <c r="AJ14" s="43" t="str">
        <f aca="false">IF(AND(S14&gt;=12,Y14&gt;=12,AH14&gt;=6),"да","нет")</f>
        <v>да</v>
      </c>
      <c r="AK14" s="2"/>
      <c r="AL14" s="2" t="n">
        <v>40</v>
      </c>
      <c r="AM14" s="23" t="n">
        <f aca="false">SUM(S14,Y14,AA14,AB14,AH14,AL14,AK14)</f>
        <v>81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444</v>
      </c>
      <c r="C15" s="27" t="s">
        <v>89</v>
      </c>
      <c r="D15" s="27" t="n">
        <v>467667</v>
      </c>
      <c r="E15" s="28" t="s">
        <v>45</v>
      </c>
      <c r="F15" s="28" t="s">
        <v>45</v>
      </c>
      <c r="G15" s="28" t="s">
        <v>45</v>
      </c>
      <c r="H15" s="28" t="s">
        <v>45</v>
      </c>
      <c r="I15" s="28" t="s">
        <v>518</v>
      </c>
      <c r="J15" s="28"/>
      <c r="K15" s="28"/>
      <c r="L15" s="28"/>
      <c r="M15" s="29"/>
      <c r="N15" s="29"/>
      <c r="O15" s="29"/>
      <c r="P15" s="30"/>
      <c r="Q15" s="31" t="n">
        <v>3462</v>
      </c>
      <c r="R15" s="39" t="n">
        <v>8.11</v>
      </c>
      <c r="S15" s="33" t="n">
        <v>19</v>
      </c>
      <c r="T15" s="34"/>
      <c r="U15" s="35" t="n">
        <v>7648</v>
      </c>
      <c r="V15" s="36" t="n">
        <v>45646</v>
      </c>
      <c r="W15" s="28" t="s">
        <v>519</v>
      </c>
      <c r="X15" s="36" t="n">
        <v>45646</v>
      </c>
      <c r="Y15" s="37" t="n">
        <v>17</v>
      </c>
      <c r="Z15" s="38"/>
      <c r="AA15" s="39"/>
      <c r="AB15" s="39"/>
      <c r="AC15" s="40"/>
      <c r="AD15" s="41" t="n">
        <v>45675</v>
      </c>
      <c r="AE15" s="28" t="n">
        <v>6</v>
      </c>
      <c r="AF15" s="41"/>
      <c r="AG15" s="41"/>
      <c r="AH15" s="37" t="n">
        <f aca="false">SUM(AE15,AG15)</f>
        <v>6</v>
      </c>
      <c r="AI15" s="42"/>
      <c r="AJ15" s="43" t="str">
        <f aca="false">IF(AND(S15&gt;=12,Y15&gt;=12,AH15&gt;=6),"да","нет")</f>
        <v>да</v>
      </c>
      <c r="AK15" s="2"/>
      <c r="AL15" s="37" t="n">
        <v>40</v>
      </c>
      <c r="AM15" s="23" t="n">
        <f aca="false">SUM(S15,Y15,AA15,AB15,AH15,AL15,AK15)</f>
        <v>82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456</v>
      </c>
      <c r="C16" s="27" t="s">
        <v>89</v>
      </c>
      <c r="D16" s="27" t="n">
        <v>467742</v>
      </c>
      <c r="E16" s="28" t="s">
        <v>45</v>
      </c>
      <c r="F16" s="28" t="s">
        <v>45</v>
      </c>
      <c r="G16" s="28" t="s">
        <v>45</v>
      </c>
      <c r="H16" s="28" t="s">
        <v>518</v>
      </c>
      <c r="I16" s="28" t="s">
        <v>45</v>
      </c>
      <c r="J16" s="28"/>
      <c r="K16" s="28"/>
      <c r="L16" s="28"/>
      <c r="M16" s="29"/>
      <c r="N16" s="29"/>
      <c r="O16" s="29"/>
      <c r="P16" s="30"/>
      <c r="Q16" s="31" t="n">
        <v>2348</v>
      </c>
      <c r="R16" s="39" t="n">
        <v>6.12</v>
      </c>
      <c r="S16" s="33" t="s">
        <v>569</v>
      </c>
      <c r="T16" s="34"/>
      <c r="U16" s="35" t="n">
        <v>1424</v>
      </c>
      <c r="V16" s="36" t="n">
        <v>45646</v>
      </c>
      <c r="W16" s="28" t="s">
        <v>519</v>
      </c>
      <c r="X16" s="36" t="n">
        <v>45646</v>
      </c>
      <c r="Y16" s="37" t="n">
        <v>15.5</v>
      </c>
      <c r="Z16" s="38"/>
      <c r="AA16" s="39"/>
      <c r="AB16" s="39"/>
      <c r="AC16" s="40"/>
      <c r="AD16" s="41" t="n">
        <v>46014</v>
      </c>
      <c r="AE16" s="28" t="n">
        <v>8.5</v>
      </c>
      <c r="AF16" s="41"/>
      <c r="AG16" s="41"/>
      <c r="AH16" s="37" t="n">
        <f aca="false">SUM(AE16,AG16)</f>
        <v>8.5</v>
      </c>
      <c r="AI16" s="42"/>
      <c r="AJ16" s="43" t="str">
        <f aca="false">IF(AND(S16&gt;=12,Y16&gt;=12,AH16&gt;=6),"да","нет")</f>
        <v>да</v>
      </c>
      <c r="AK16" s="2"/>
      <c r="AL16" s="2" t="n">
        <v>40</v>
      </c>
      <c r="AM16" s="23" t="n">
        <f aca="false">SUM(S16,Y16,AA16,AB16,AH16,AL16,AK16)</f>
        <v>64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465</v>
      </c>
      <c r="C17" s="27" t="s">
        <v>89</v>
      </c>
      <c r="D17" s="27" t="n">
        <v>467858</v>
      </c>
      <c r="E17" s="28" t="s">
        <v>45</v>
      </c>
      <c r="F17" s="28" t="s">
        <v>45</v>
      </c>
      <c r="G17" s="28" t="s">
        <v>45</v>
      </c>
      <c r="H17" s="28" t="s">
        <v>45</v>
      </c>
      <c r="I17" s="28" t="s">
        <v>45</v>
      </c>
      <c r="J17" s="28"/>
      <c r="K17" s="28"/>
      <c r="L17" s="28"/>
      <c r="M17" s="29"/>
      <c r="N17" s="29"/>
      <c r="O17" s="29"/>
      <c r="P17" s="30"/>
      <c r="Q17" s="31" t="n">
        <v>6533</v>
      </c>
      <c r="R17" s="39" t="n">
        <v>6.12</v>
      </c>
      <c r="S17" s="33" t="n">
        <v>16</v>
      </c>
      <c r="T17" s="34"/>
      <c r="U17" s="35" t="n">
        <v>1535</v>
      </c>
      <c r="V17" s="41" t="n">
        <v>46007</v>
      </c>
      <c r="W17" s="41" t="n">
        <v>46007</v>
      </c>
      <c r="X17" s="41" t="n">
        <v>46007</v>
      </c>
      <c r="Y17" s="37" t="n">
        <v>14</v>
      </c>
      <c r="Z17" s="38"/>
      <c r="AA17" s="39"/>
      <c r="AB17" s="39"/>
      <c r="AC17" s="44"/>
      <c r="AD17" s="36" t="n">
        <v>45675</v>
      </c>
      <c r="AE17" s="28" t="n">
        <v>6</v>
      </c>
      <c r="AF17" s="36"/>
      <c r="AG17" s="36"/>
      <c r="AH17" s="37" t="n">
        <f aca="false">SUM(AE17,AG17)</f>
        <v>6</v>
      </c>
      <c r="AI17" s="42"/>
      <c r="AJ17" s="43" t="str">
        <f aca="false">IF(AND(S17&gt;=12,Y17&gt;=12,AH17&gt;=6),"да","нет")</f>
        <v>да</v>
      </c>
      <c r="AK17" s="2" t="n">
        <v>1</v>
      </c>
      <c r="AL17" s="2" t="n">
        <v>39</v>
      </c>
      <c r="AM17" s="23" t="n">
        <f aca="false">SUM(S17,Y17,AA17,AB17,AH17,AL17,AK17)</f>
        <v>76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478</v>
      </c>
      <c r="C18" s="27" t="s">
        <v>89</v>
      </c>
      <c r="D18" s="27" t="n">
        <v>467959</v>
      </c>
      <c r="E18" s="28" t="s">
        <v>45</v>
      </c>
      <c r="F18" s="28" t="s">
        <v>45</v>
      </c>
      <c r="G18" s="28" t="s">
        <v>518</v>
      </c>
      <c r="H18" s="28" t="s">
        <v>45</v>
      </c>
      <c r="I18" s="28" t="s">
        <v>45</v>
      </c>
      <c r="J18" s="28"/>
      <c r="K18" s="28"/>
      <c r="L18" s="28"/>
      <c r="M18" s="29"/>
      <c r="N18" s="29"/>
      <c r="O18" s="29"/>
      <c r="P18" s="30"/>
      <c r="Q18" s="31" t="n">
        <v>7389</v>
      </c>
      <c r="R18" s="39" t="n">
        <v>22.11</v>
      </c>
      <c r="S18" s="33" t="n">
        <v>17</v>
      </c>
      <c r="T18" s="34"/>
      <c r="U18" s="35" t="n">
        <v>6328</v>
      </c>
      <c r="V18" s="36" t="n">
        <v>45646</v>
      </c>
      <c r="W18" s="41" t="n">
        <v>45646</v>
      </c>
      <c r="X18" s="36" t="n">
        <v>45646</v>
      </c>
      <c r="Y18" s="37" t="n">
        <v>17</v>
      </c>
      <c r="Z18" s="38"/>
      <c r="AA18" s="39"/>
      <c r="AB18" s="39"/>
      <c r="AC18" s="40"/>
      <c r="AD18" s="41" t="n">
        <v>46014</v>
      </c>
      <c r="AE18" s="28" t="n">
        <v>10</v>
      </c>
      <c r="AF18" s="41"/>
      <c r="AG18" s="41"/>
      <c r="AH18" s="37" t="n">
        <f aca="false">SUM(AE18,AG18)</f>
        <v>10</v>
      </c>
      <c r="AI18" s="42"/>
      <c r="AJ18" s="43" t="str">
        <f aca="false">IF(AND(S18&gt;=12,Y18&gt;=12,AH18&gt;=6),"да","нет")</f>
        <v>да</v>
      </c>
      <c r="AK18" s="2"/>
      <c r="AL18" s="2" t="n">
        <v>40</v>
      </c>
      <c r="AM18" s="23" t="n">
        <f aca="false">SUM(S18,Y18,AA18,AB18,AH18,AL18,AK18)</f>
        <v>84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512</v>
      </c>
      <c r="C19" s="97" t="s">
        <v>89</v>
      </c>
      <c r="D19" s="27" t="n">
        <v>474281</v>
      </c>
      <c r="E19" s="28" t="s">
        <v>45</v>
      </c>
      <c r="F19" s="28" t="s">
        <v>45</v>
      </c>
      <c r="G19" s="28" t="s">
        <v>45</v>
      </c>
      <c r="H19" s="28" t="s">
        <v>45</v>
      </c>
      <c r="I19" s="28" t="s">
        <v>518</v>
      </c>
      <c r="J19" s="28"/>
      <c r="K19" s="28"/>
      <c r="L19" s="28"/>
      <c r="M19" s="29"/>
      <c r="N19" s="29"/>
      <c r="O19" s="29"/>
      <c r="P19" s="30"/>
      <c r="Q19" s="31" t="n">
        <v>2769</v>
      </c>
      <c r="R19" s="39" t="n">
        <v>6.12</v>
      </c>
      <c r="S19" s="33" t="n">
        <v>19</v>
      </c>
      <c r="T19" s="34"/>
      <c r="U19" s="35" t="n">
        <v>1252</v>
      </c>
      <c r="V19" s="36" t="n">
        <v>45646</v>
      </c>
      <c r="W19" s="36" t="n">
        <v>45646</v>
      </c>
      <c r="X19" s="36" t="n">
        <v>45646</v>
      </c>
      <c r="Y19" s="37" t="n">
        <v>14</v>
      </c>
      <c r="Z19" s="38"/>
      <c r="AA19" s="39"/>
      <c r="AB19" s="39"/>
      <c r="AC19" s="40"/>
      <c r="AD19" s="41" t="n">
        <v>45675</v>
      </c>
      <c r="AE19" s="28" t="n">
        <v>6</v>
      </c>
      <c r="AF19" s="41"/>
      <c r="AG19" s="41"/>
      <c r="AH19" s="37" t="n">
        <f aca="false">SUM(AE19,AG19)</f>
        <v>6</v>
      </c>
      <c r="AI19" s="42"/>
      <c r="AJ19" s="43" t="str">
        <f aca="false">IF(AND(S19&gt;=12,Y19&gt;=12,AH19&gt;=6),"да","нет")</f>
        <v>да</v>
      </c>
      <c r="AK19" s="2"/>
      <c r="AL19" s="2" t="n">
        <v>38</v>
      </c>
      <c r="AM19" s="23" t="n">
        <f aca="false">SUM(S19,Y19,AA19,AB19,AH19,AL19,AK19)</f>
        <v>77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9"/>
      <c r="N20" s="29"/>
      <c r="O20" s="29"/>
      <c r="P20" s="30"/>
      <c r="Q20" s="46"/>
      <c r="R20" s="36"/>
      <c r="S20" s="37"/>
      <c r="T20" s="47"/>
      <c r="U20" s="2"/>
      <c r="V20" s="36"/>
      <c r="W20" s="36"/>
      <c r="X20" s="36"/>
      <c r="Y20" s="37"/>
      <c r="Z20" s="38"/>
      <c r="AA20" s="39"/>
      <c r="AB20" s="39"/>
      <c r="AC20" s="48"/>
      <c r="AD20" s="28"/>
      <c r="AE20" s="28"/>
      <c r="AF20" s="28"/>
      <c r="AG20" s="28"/>
      <c r="AH20" s="37" t="n">
        <f aca="false">SUM(AE20,AG20)</f>
        <v>0</v>
      </c>
      <c r="AI20" s="42"/>
      <c r="AJ20" s="43" t="str">
        <f aca="false">IF(AND(S20&gt;=12,Y20&gt;=12,AH20&gt;=6),"да","нет")</f>
        <v>нет</v>
      </c>
      <c r="AK20" s="2"/>
      <c r="AL20" s="2"/>
      <c r="AM20" s="23" t="n">
        <f aca="false">SUM(S20,Y20,AA20,AB20,AH20,AL20,AK20)</f>
        <v>0</v>
      </c>
      <c r="AN20" s="29" t="str">
        <f aca="false">IF(AND(S20&gt;=12,Y20&gt;=12,AH20&gt;=6,AL20&gt;=24,AM20&gt;=60),"Зачет","Незачет")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28"/>
      <c r="AH21" s="37" t="n">
        <f aca="false">SUM(AE21,AG21)</f>
        <v>0</v>
      </c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0</v>
      </c>
      <c r="G25" s="37" t="n">
        <f aca="false">COUNTIF(G$3:G$23, "~**")</f>
        <v>0</v>
      </c>
      <c r="H25" s="37" t="n">
        <f aca="false">COUNTIF(H$3:H$23, "~**")</f>
        <v>0</v>
      </c>
      <c r="I25" s="37" t="n">
        <f aca="false">COUNTIF(I$3:I$23, "~**")</f>
        <v>0</v>
      </c>
      <c r="J25" s="37" t="n">
        <f aca="false">COUNTIF(J$3:J$23, "~**")</f>
        <v>0</v>
      </c>
      <c r="K25" s="37" t="n">
        <f aca="false">COUNTIF(K$3:K$23, "~**")</f>
        <v>0</v>
      </c>
      <c r="L25" s="37" t="n">
        <f aca="false">COUNTIF(L$3:L$23, "~**")</f>
        <v>0</v>
      </c>
      <c r="M25" s="54" t="n">
        <f aca="false">COUNTIF(M$3:M$23, "~**")</f>
        <v>0</v>
      </c>
      <c r="N25" s="54" t="n">
        <f aca="false">COUNTIF(N$3:N$23, "~**")</f>
        <v>0</v>
      </c>
      <c r="O25" s="54" t="n">
        <f aca="false">COUNTIF(O$3:O$23, "~**")</f>
        <v>0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15</v>
      </c>
      <c r="F26" s="37" t="n">
        <f aca="false">COUNTIF(F$3:F$23, "~**")+COUNTIF(F$3:F$23, "Y")</f>
        <v>15</v>
      </c>
      <c r="G26" s="37" t="n">
        <f aca="false">COUNTIF(G$3:G$23, "~**")+COUNTIF(G$3:G$23, "Y")</f>
        <v>15</v>
      </c>
      <c r="H26" s="37" t="n">
        <f aca="false">COUNTIF(H$3:H$23, "~**")+COUNTIF(H$3:H$23, "Y")</f>
        <v>15</v>
      </c>
      <c r="I26" s="37" t="n">
        <f aca="false">COUNTIF(I$3:I$23, "~**")+COUNTIF(I$3:I$23, "Y")</f>
        <v>12</v>
      </c>
      <c r="J26" s="37" t="n">
        <f aca="false">COUNTIF(J$3:J$23, "~**")+COUNTIF(J$3:J$23, "Y")</f>
        <v>0</v>
      </c>
      <c r="K26" s="37" t="n">
        <f aca="false">COUNTIF(K$3:K$23, "~**")+COUNTIF(K$3:K$23, "Y")</f>
        <v>0</v>
      </c>
      <c r="L26" s="37" t="n">
        <f aca="false">COUNTIF(L$3:L$23, "~**")+COUNTIF(L$3:L$23, "Y")</f>
        <v>0</v>
      </c>
      <c r="M26" s="54" t="n">
        <f aca="false">COUNTIF(M$3:M$23, "~**")+COUNTIF(M$3:M$23, "Y")</f>
        <v>0</v>
      </c>
      <c r="N26" s="54" t="n">
        <f aca="false">COUNTIF(N$3:N$23, "~**")+COUNTIF(N$3:N$23, "Y")</f>
        <v>0</v>
      </c>
      <c r="O26" s="54" t="n">
        <f aca="false">COUNTIF(O$3:O$23, "~**")+COUNTIF(O$3:O$23, "Y")</f>
        <v>0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0.9411764706</v>
      </c>
      <c r="T28" s="62"/>
      <c r="U28" s="61"/>
      <c r="V28" s="61"/>
      <c r="W28" s="61"/>
      <c r="X28" s="61"/>
      <c r="Y28" s="61" t="n">
        <f aca="false">IFERROR(COUNTA(Y$3:Y23)/COUNTA($B$3:$B$23), 0)</f>
        <v>0.9411764706</v>
      </c>
      <c r="Z28" s="63"/>
      <c r="AA28" s="2"/>
      <c r="AB28" s="2"/>
      <c r="AC28" s="57"/>
      <c r="AE28" s="61" t="n">
        <f aca="false">IFERROR(COUNTIF(AE$3:AE23, "&gt;0")/COUNTA($B$3:$B$22), 0)</f>
        <v>0.9411764706</v>
      </c>
      <c r="AG28" s="61" t="n">
        <f aca="false">IFERROR(COUNTIF(AG$3:AG23, "&gt;0")/COUNTA($B$3:$B$22), 0)</f>
        <v>0</v>
      </c>
      <c r="AH28" s="61" t="n">
        <f aca="false">IFERROR(COUNTIF(AH$3:AH23, "&gt;0")/COUNTA($B$3:$B$22), 0)</f>
        <v>0.941176470588235</v>
      </c>
      <c r="AI28" s="64"/>
      <c r="AJ28" s="65"/>
      <c r="AK28" s="2"/>
      <c r="AL28" s="61" t="n">
        <f aca="false">IFERROR(COUNTIF(AL$3:AL23, "&gt;24")/COUNTA($B$3:$B$22), 0)</f>
        <v>0.9411764706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:S23 Y3:AB23 AH3:AH23 AK3:AL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3">
    <cfRule type="expression" priority="7" aboveAverage="0" equalAverage="0" bottom="0" percent="0" rank="0" text="" dxfId="5">
      <formula>R3&gt;45230</formula>
    </cfRule>
  </conditionalFormatting>
  <conditionalFormatting sqref="V3:X23 AC3:AG23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9900"/>
    <outlinePr summaryBelow="0"/>
    <pageSetUpPr fitToPage="false"/>
  </sheetPr>
  <dimension ref="A1:AS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20" min="5" style="0" width="3.38"/>
    <col collapsed="false" customWidth="true" hidden="false" outlineLevel="0" max="21" min="21" style="0" width="0.38"/>
    <col collapsed="false" customWidth="true" hidden="false" outlineLevel="0" max="22" min="22" style="0" width="5.75"/>
    <col collapsed="false" customWidth="true" hidden="false" outlineLevel="0" max="23" min="23" style="0" width="4.75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5.75"/>
    <col collapsed="false" customWidth="true" hidden="false" outlineLevel="0" max="27" min="27" style="0" width="4.75"/>
    <col collapsed="false" customWidth="true" hidden="false" outlineLevel="0" max="28" min="28" style="0" width="5.13"/>
    <col collapsed="false" customWidth="true" hidden="false" outlineLevel="0" max="29" min="29" style="0" width="4.75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4.38"/>
    <col collapsed="false" customWidth="true" hidden="false" outlineLevel="0" max="33" min="33" style="0" width="4.5"/>
    <col collapsed="false" customWidth="true" hidden="false" outlineLevel="0" max="34" min="34" style="0" width="0.38"/>
    <col collapsed="false" customWidth="true" hidden="false" outlineLevel="0" max="38" min="35" style="0" width="5.63"/>
    <col collapsed="false" customWidth="true" hidden="false" outlineLevel="0" max="39" min="39" style="0" width="4.38"/>
    <col collapsed="false" customWidth="true" hidden="false" outlineLevel="0" max="40" min="40" style="0" width="0.38"/>
    <col collapsed="false" customWidth="true" hidden="false" outlineLevel="0" max="41" min="41" style="0" width="7.63"/>
    <col collapsed="false" customWidth="true" hidden="false" outlineLevel="0" max="42" min="42" style="0" width="5.63"/>
    <col collapsed="false" customWidth="true" hidden="false" outlineLevel="0" max="43" min="43" style="0" width="7.12"/>
    <col collapsed="false" customWidth="true" hidden="false" outlineLevel="0" max="44" min="44" style="0" width="6.88"/>
    <col collapsed="false" customWidth="true" hidden="false" outlineLevel="0" max="45" min="45" style="0" width="7.5"/>
  </cols>
  <sheetData>
    <row r="1" customFormat="false" ht="15.75" hidden="false" customHeight="true" outlineLevel="0" collapsed="false">
      <c r="A1" s="1" t="s">
        <v>37</v>
      </c>
      <c r="B1" s="2" t="s">
        <v>570</v>
      </c>
      <c r="C1" s="3"/>
      <c r="D1" s="4" t="n">
        <f aca="false">COLUMNS(A2:AS2)-40</f>
        <v>5</v>
      </c>
      <c r="E1" s="5" t="s">
        <v>2</v>
      </c>
      <c r="F1" s="5"/>
      <c r="G1" s="5"/>
      <c r="H1" s="5"/>
      <c r="I1" s="5"/>
      <c r="J1" s="5"/>
      <c r="K1" s="5"/>
      <c r="L1" s="5"/>
      <c r="M1" s="5" t="s">
        <v>571</v>
      </c>
      <c r="N1" s="5"/>
      <c r="O1" s="5"/>
      <c r="P1" s="5" t="s">
        <v>572</v>
      </c>
      <c r="Q1" s="5"/>
      <c r="R1" s="5"/>
      <c r="S1" s="5"/>
      <c r="T1" s="19"/>
      <c r="U1" s="6"/>
      <c r="V1" s="5" t="s">
        <v>3</v>
      </c>
      <c r="W1" s="5"/>
      <c r="X1" s="5"/>
      <c r="Y1" s="6"/>
      <c r="Z1" s="5" t="s">
        <v>4</v>
      </c>
      <c r="AA1" s="5"/>
      <c r="AB1" s="5"/>
      <c r="AC1" s="5"/>
      <c r="AD1" s="5"/>
      <c r="AE1" s="7"/>
      <c r="AF1" s="8" t="s">
        <v>5</v>
      </c>
      <c r="AG1" s="8" t="s">
        <v>6</v>
      </c>
      <c r="AH1" s="7"/>
      <c r="AI1" s="8" t="s">
        <v>7</v>
      </c>
      <c r="AJ1" s="8"/>
      <c r="AK1" s="8" t="s">
        <v>8</v>
      </c>
      <c r="AL1" s="8"/>
      <c r="AM1" s="1" t="s">
        <v>9</v>
      </c>
      <c r="AN1" s="10"/>
      <c r="AO1" s="11" t="s">
        <v>10</v>
      </c>
      <c r="AP1" s="8" t="s">
        <v>11</v>
      </c>
      <c r="AQ1" s="8" t="s">
        <v>12</v>
      </c>
      <c r="AR1" s="12" t="s">
        <v>13</v>
      </c>
      <c r="AS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45553</v>
      </c>
      <c r="F2" s="15" t="n">
        <f aca="false">E2+14</f>
        <v>45567</v>
      </c>
      <c r="G2" s="15" t="n">
        <f aca="false">F2+14</f>
        <v>45581</v>
      </c>
      <c r="H2" s="15" t="n">
        <f aca="false">G2+14</f>
        <v>45595</v>
      </c>
      <c r="I2" s="15" t="n">
        <f aca="false">H2+14</f>
        <v>45609</v>
      </c>
      <c r="J2" s="15" t="n">
        <f aca="false">I2+14</f>
        <v>45623</v>
      </c>
      <c r="K2" s="15" t="n">
        <f aca="false">J2+14</f>
        <v>45637</v>
      </c>
      <c r="L2" s="15" t="n">
        <f aca="false">K2+14</f>
        <v>45651</v>
      </c>
      <c r="M2" s="16" t="n">
        <v>45666</v>
      </c>
      <c r="N2" s="17" t="n">
        <v>45671</v>
      </c>
      <c r="O2" s="17" t="n">
        <v>45673</v>
      </c>
      <c r="P2" s="17" t="n">
        <v>45693</v>
      </c>
      <c r="Q2" s="17" t="n">
        <v>45695</v>
      </c>
      <c r="R2" s="17" t="n">
        <v>45698</v>
      </c>
      <c r="S2" s="146" t="n">
        <v>45706</v>
      </c>
      <c r="T2" s="146" t="n">
        <v>45716</v>
      </c>
      <c r="U2" s="18"/>
      <c r="V2" s="19" t="s">
        <v>17</v>
      </c>
      <c r="W2" s="20" t="s">
        <v>18</v>
      </c>
      <c r="X2" s="19" t="s">
        <v>19</v>
      </c>
      <c r="Y2" s="6"/>
      <c r="Z2" s="19" t="s">
        <v>17</v>
      </c>
      <c r="AA2" s="19" t="s">
        <v>20</v>
      </c>
      <c r="AB2" s="19" t="s">
        <v>21</v>
      </c>
      <c r="AC2" s="20" t="s">
        <v>18</v>
      </c>
      <c r="AD2" s="19" t="s">
        <v>19</v>
      </c>
      <c r="AE2" s="7"/>
      <c r="AF2" s="8"/>
      <c r="AG2" s="8"/>
      <c r="AH2" s="21"/>
      <c r="AI2" s="22" t="s">
        <v>22</v>
      </c>
      <c r="AJ2" s="22" t="s">
        <v>23</v>
      </c>
      <c r="AK2" s="22" t="s">
        <v>22</v>
      </c>
      <c r="AL2" s="22" t="s">
        <v>23</v>
      </c>
      <c r="AM2" s="1"/>
      <c r="AN2" s="10"/>
      <c r="AO2" s="11"/>
      <c r="AP2" s="11"/>
      <c r="AQ2" s="11"/>
      <c r="AR2" s="23" t="s">
        <v>24</v>
      </c>
      <c r="AS2" s="24" t="s">
        <v>25</v>
      </c>
    </row>
    <row r="3" customFormat="false" ht="15.75" hidden="false" customHeight="false" outlineLevel="0" collapsed="false">
      <c r="A3" s="25" t="n">
        <v>1</v>
      </c>
      <c r="B3" s="26" t="s">
        <v>120</v>
      </c>
      <c r="C3" s="27" t="s">
        <v>121</v>
      </c>
      <c r="D3" s="27" t="n">
        <v>465235</v>
      </c>
      <c r="E3" s="28" t="s">
        <v>45</v>
      </c>
      <c r="F3" s="28" t="s">
        <v>519</v>
      </c>
      <c r="G3" s="28" t="s">
        <v>518</v>
      </c>
      <c r="H3" s="28" t="s">
        <v>45</v>
      </c>
      <c r="I3" s="28" t="s">
        <v>518</v>
      </c>
      <c r="J3" s="28" t="s">
        <v>519</v>
      </c>
      <c r="K3" s="28" t="s">
        <v>525</v>
      </c>
      <c r="L3" s="28" t="s">
        <v>519</v>
      </c>
      <c r="M3" s="29"/>
      <c r="N3" s="29"/>
      <c r="O3" s="29" t="s">
        <v>519</v>
      </c>
      <c r="P3" s="29"/>
      <c r="Q3" s="29"/>
      <c r="R3" s="29"/>
      <c r="S3" s="29"/>
      <c r="T3" s="29"/>
      <c r="U3" s="30"/>
      <c r="V3" s="31" t="n">
        <v>31200</v>
      </c>
      <c r="W3" s="32" t="n">
        <v>45567</v>
      </c>
      <c r="X3" s="33" t="n">
        <v>20</v>
      </c>
      <c r="Y3" s="34"/>
      <c r="Z3" s="35" t="n">
        <v>20000</v>
      </c>
      <c r="AA3" s="36" t="n">
        <v>45637</v>
      </c>
      <c r="AB3" s="36" t="n">
        <v>45651</v>
      </c>
      <c r="AC3" s="36" t="n">
        <v>45651</v>
      </c>
      <c r="AD3" s="37" t="n">
        <v>20</v>
      </c>
      <c r="AE3" s="38"/>
      <c r="AF3" s="39"/>
      <c r="AG3" s="39"/>
      <c r="AH3" s="40"/>
      <c r="AI3" s="36" t="n">
        <v>45671</v>
      </c>
      <c r="AJ3" s="28" t="n">
        <v>3</v>
      </c>
      <c r="AK3" s="36" t="n">
        <v>45671</v>
      </c>
      <c r="AL3" s="28" t="n">
        <v>3</v>
      </c>
      <c r="AM3" s="37" t="n">
        <f aca="false">SUM(AJ3,AL3)</f>
        <v>6</v>
      </c>
      <c r="AN3" s="42"/>
      <c r="AO3" s="43" t="str">
        <f aca="false">IF(AND(X3&gt;=12,AD3&gt;=12,AM3&gt;=6),"да","нет")</f>
        <v>да</v>
      </c>
      <c r="AP3" s="2"/>
      <c r="AQ3" s="2" t="n">
        <v>26</v>
      </c>
      <c r="AR3" s="23" t="n">
        <f aca="false">SUM(X3,AD3,AF3,AG3,AM3,AQ3,AP3)</f>
        <v>72</v>
      </c>
      <c r="AS3" s="29" t="str">
        <f aca="false">IF(AND(X3&gt;=12,AD3&gt;=12,AM3&gt;=6,AQ3&gt;=24,AR3&gt;=60),"Зачет","Незачет")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134</v>
      </c>
      <c r="C4" s="27" t="s">
        <v>121</v>
      </c>
      <c r="D4" s="27" t="n">
        <v>365209</v>
      </c>
      <c r="E4" s="28" t="s">
        <v>45</v>
      </c>
      <c r="F4" s="28" t="s">
        <v>45</v>
      </c>
      <c r="G4" s="28" t="s">
        <v>518</v>
      </c>
      <c r="H4" s="28" t="s">
        <v>518</v>
      </c>
      <c r="I4" s="28" t="s">
        <v>519</v>
      </c>
      <c r="J4" s="28" t="s">
        <v>519</v>
      </c>
      <c r="K4" s="28" t="s">
        <v>519</v>
      </c>
      <c r="L4" s="28" t="s">
        <v>522</v>
      </c>
      <c r="M4" s="147"/>
      <c r="N4" s="147"/>
      <c r="O4" s="147" t="s">
        <v>519</v>
      </c>
      <c r="P4" s="148"/>
      <c r="Q4" s="148"/>
      <c r="R4" s="148"/>
      <c r="S4" s="148"/>
      <c r="T4" s="148"/>
      <c r="U4" s="30"/>
      <c r="V4" s="31" t="n">
        <v>31201</v>
      </c>
      <c r="W4" s="102" t="n">
        <v>45623</v>
      </c>
      <c r="X4" s="33" t="n">
        <v>18</v>
      </c>
      <c r="Y4" s="34"/>
      <c r="Z4" s="35" t="n">
        <v>20004</v>
      </c>
      <c r="AA4" s="36" t="n">
        <v>45637</v>
      </c>
      <c r="AB4" s="36" t="n">
        <v>45651</v>
      </c>
      <c r="AC4" s="36" t="n">
        <v>45651</v>
      </c>
      <c r="AD4" s="37" t="n">
        <v>18</v>
      </c>
      <c r="AE4" s="38"/>
      <c r="AF4" s="39"/>
      <c r="AG4" s="39"/>
      <c r="AH4" s="40"/>
      <c r="AI4" s="36" t="n">
        <v>45671</v>
      </c>
      <c r="AJ4" s="28" t="n">
        <v>3</v>
      </c>
      <c r="AK4" s="36" t="n">
        <v>45671</v>
      </c>
      <c r="AL4" s="28" t="n">
        <v>3</v>
      </c>
      <c r="AM4" s="37" t="n">
        <f aca="false">SUM(AJ4,AL4)</f>
        <v>6</v>
      </c>
      <c r="AN4" s="42"/>
      <c r="AO4" s="43" t="str">
        <f aca="false">IF(AND(X4&gt;=12,AD4&gt;=12,AM4&gt;=6),"да","нет")</f>
        <v>да</v>
      </c>
      <c r="AP4" s="2"/>
      <c r="AQ4" s="149" t="n">
        <v>24</v>
      </c>
      <c r="AR4" s="23" t="n">
        <f aca="false">SUM(X4,AD4,AF4,AG4,AM4,AQ4,AP4)</f>
        <v>66</v>
      </c>
      <c r="AS4" s="29" t="str">
        <f aca="false">IF(AND(X4&gt;=12,AD4&gt;=12,AM4&gt;=6,AQ4&gt;=24,AR4&gt;=60),"Зачет","Незачет")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152</v>
      </c>
      <c r="C5" s="27" t="s">
        <v>121</v>
      </c>
      <c r="D5" s="27" t="n">
        <v>465527</v>
      </c>
      <c r="E5" s="28" t="s">
        <v>518</v>
      </c>
      <c r="F5" s="28" t="s">
        <v>45</v>
      </c>
      <c r="G5" s="28" t="s">
        <v>45</v>
      </c>
      <c r="H5" s="28" t="s">
        <v>519</v>
      </c>
      <c r="I5" s="28" t="s">
        <v>518</v>
      </c>
      <c r="J5" s="28" t="s">
        <v>519</v>
      </c>
      <c r="K5" s="28" t="s">
        <v>519</v>
      </c>
      <c r="L5" s="28" t="s">
        <v>519</v>
      </c>
      <c r="M5" s="29" t="s">
        <v>519</v>
      </c>
      <c r="N5" s="29"/>
      <c r="O5" s="29" t="s">
        <v>519</v>
      </c>
      <c r="P5" s="29"/>
      <c r="Q5" s="29"/>
      <c r="R5" s="29"/>
      <c r="S5" s="29"/>
      <c r="T5" s="29"/>
      <c r="U5" s="30"/>
      <c r="V5" s="31" t="n">
        <v>31202</v>
      </c>
      <c r="W5" s="102" t="n">
        <v>45637</v>
      </c>
      <c r="X5" s="33" t="n">
        <v>16</v>
      </c>
      <c r="Y5" s="34"/>
      <c r="Z5" s="35" t="n">
        <v>20008</v>
      </c>
      <c r="AA5" s="36" t="n">
        <v>45651</v>
      </c>
      <c r="AB5" s="36" t="n">
        <v>45666</v>
      </c>
      <c r="AC5" s="36" t="n">
        <v>45666</v>
      </c>
      <c r="AD5" s="37" t="n">
        <v>18</v>
      </c>
      <c r="AE5" s="38"/>
      <c r="AF5" s="39"/>
      <c r="AG5" s="39"/>
      <c r="AH5" s="44"/>
      <c r="AI5" s="36" t="n">
        <v>45671</v>
      </c>
      <c r="AJ5" s="28" t="n">
        <v>5</v>
      </c>
      <c r="AK5" s="36" t="n">
        <v>45671</v>
      </c>
      <c r="AL5" s="28" t="n">
        <v>5</v>
      </c>
      <c r="AM5" s="37" t="n">
        <f aca="false">SUM(AJ5,AL5)</f>
        <v>10</v>
      </c>
      <c r="AN5" s="42"/>
      <c r="AO5" s="43" t="str">
        <f aca="false">IF(AND(X5&gt;=12,AD5&gt;=12,AM5&gt;=6),"да","нет")</f>
        <v>да</v>
      </c>
      <c r="AP5" s="2"/>
      <c r="AQ5" s="2" t="n">
        <v>30</v>
      </c>
      <c r="AR5" s="23" t="n">
        <f aca="false">SUM(X5,AD5,AF5,AG5,AM5,AQ5,AP5)</f>
        <v>74</v>
      </c>
      <c r="AS5" s="29" t="str">
        <f aca="false">IF(AND(X5&gt;=12,AD5&gt;=12,AM5&gt;=6,AQ5&gt;=24,AR5&gt;=60),"Зачет","Незачет")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155</v>
      </c>
      <c r="C6" s="27" t="s">
        <v>121</v>
      </c>
      <c r="D6" s="27" t="n">
        <v>471844</v>
      </c>
      <c r="E6" s="28" t="s">
        <v>45</v>
      </c>
      <c r="F6" s="28" t="s">
        <v>45</v>
      </c>
      <c r="G6" s="28" t="s">
        <v>518</v>
      </c>
      <c r="H6" s="28" t="s">
        <v>45</v>
      </c>
      <c r="I6" s="28" t="s">
        <v>518</v>
      </c>
      <c r="J6" s="28" t="s">
        <v>518</v>
      </c>
      <c r="K6" s="28" t="s">
        <v>518</v>
      </c>
      <c r="L6" s="28" t="s">
        <v>522</v>
      </c>
      <c r="M6" s="147"/>
      <c r="N6" s="147"/>
      <c r="O6" s="147"/>
      <c r="P6" s="148"/>
      <c r="Q6" s="148"/>
      <c r="R6" s="148"/>
      <c r="S6" s="148"/>
      <c r="T6" s="148" t="s">
        <v>519</v>
      </c>
      <c r="U6" s="30"/>
      <c r="V6" s="31" t="n">
        <v>31203</v>
      </c>
      <c r="W6" s="36" t="n">
        <v>45651</v>
      </c>
      <c r="X6" s="33" t="n">
        <v>13</v>
      </c>
      <c r="Y6" s="34"/>
      <c r="Z6" s="35" t="n">
        <v>20013</v>
      </c>
      <c r="AA6" s="36" t="n">
        <v>45716</v>
      </c>
      <c r="AB6" s="36" t="n">
        <v>45716</v>
      </c>
      <c r="AC6" s="36" t="n">
        <v>45727</v>
      </c>
      <c r="AD6" s="37" t="n">
        <v>12</v>
      </c>
      <c r="AE6" s="38"/>
      <c r="AF6" s="39"/>
      <c r="AG6" s="39"/>
      <c r="AH6" s="44"/>
      <c r="AI6" s="36" t="n">
        <v>45715</v>
      </c>
      <c r="AJ6" s="28" t="n">
        <v>3</v>
      </c>
      <c r="AK6" s="36" t="n">
        <v>45715</v>
      </c>
      <c r="AL6" s="28" t="n">
        <v>3</v>
      </c>
      <c r="AM6" s="37" t="n">
        <f aca="false">SUM(AJ6,AL6)</f>
        <v>6</v>
      </c>
      <c r="AN6" s="42"/>
      <c r="AO6" s="43" t="str">
        <f aca="false">IF(AND(X6&gt;=12,AD6&gt;=12,AM6&gt;=6),"да","нет")</f>
        <v>да</v>
      </c>
      <c r="AP6" s="2"/>
      <c r="AQ6" s="149" t="n">
        <v>30</v>
      </c>
      <c r="AR6" s="23" t="n">
        <f aca="false">SUM(X6,AD6,AF6,AG6,AM6,AQ6,AP6)</f>
        <v>61</v>
      </c>
      <c r="AS6" s="29" t="str">
        <f aca="false">IF(AND(X6&gt;=12,AD6&gt;=12,AM6&gt;=6,AQ6&gt;=24,AR6&gt;=60),"Зачет","Незачет")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200</v>
      </c>
      <c r="C7" s="27" t="s">
        <v>121</v>
      </c>
      <c r="D7" s="27" t="n">
        <v>465929</v>
      </c>
      <c r="E7" s="28" t="s">
        <v>45</v>
      </c>
      <c r="F7" s="28" t="s">
        <v>45</v>
      </c>
      <c r="G7" s="28" t="s">
        <v>518</v>
      </c>
      <c r="H7" s="28" t="s">
        <v>45</v>
      </c>
      <c r="I7" s="28" t="s">
        <v>519</v>
      </c>
      <c r="J7" s="28" t="s">
        <v>519</v>
      </c>
      <c r="K7" s="28" t="s">
        <v>519</v>
      </c>
      <c r="L7" s="28" t="s">
        <v>519</v>
      </c>
      <c r="M7" s="147"/>
      <c r="N7" s="147"/>
      <c r="O7" s="147"/>
      <c r="P7" s="148" t="s">
        <v>519</v>
      </c>
      <c r="Q7" s="148"/>
      <c r="R7" s="148" t="s">
        <v>519</v>
      </c>
      <c r="S7" s="148"/>
      <c r="T7" s="148"/>
      <c r="U7" s="30"/>
      <c r="V7" s="31" t="n">
        <v>31204</v>
      </c>
      <c r="W7" s="32" t="n">
        <v>45651</v>
      </c>
      <c r="X7" s="33" t="n">
        <v>15</v>
      </c>
      <c r="Y7" s="34"/>
      <c r="Z7" s="35" t="n">
        <v>20012</v>
      </c>
      <c r="AA7" s="36" t="n">
        <v>45693</v>
      </c>
      <c r="AB7" s="36" t="n">
        <v>45693</v>
      </c>
      <c r="AC7" s="36" t="n">
        <v>45693</v>
      </c>
      <c r="AD7" s="37" t="n">
        <v>12</v>
      </c>
      <c r="AE7" s="38"/>
      <c r="AF7" s="39"/>
      <c r="AG7" s="39"/>
      <c r="AH7" s="40"/>
      <c r="AI7" s="36" t="n">
        <v>45671</v>
      </c>
      <c r="AJ7" s="28" t="n">
        <v>3</v>
      </c>
      <c r="AK7" s="36" t="n">
        <v>45671</v>
      </c>
      <c r="AL7" s="28" t="n">
        <v>3</v>
      </c>
      <c r="AM7" s="37" t="n">
        <f aca="false">SUM(AJ7,AL7)</f>
        <v>6</v>
      </c>
      <c r="AN7" s="42"/>
      <c r="AO7" s="43" t="str">
        <f aca="false">IF(AND(X7&gt;=12,AD7&gt;=12,AM7&gt;=6),"да","нет")</f>
        <v>да</v>
      </c>
      <c r="AP7" s="2"/>
      <c r="AQ7" s="149" t="n">
        <v>30</v>
      </c>
      <c r="AR7" s="23" t="n">
        <f aca="false">SUM(X7,AD7,AF7,AG7,AM7,AQ7,AP7)</f>
        <v>63</v>
      </c>
      <c r="AS7" s="29" t="str">
        <f aca="false">IF(AND(X7&gt;=12,AD7&gt;=12,AM7&gt;=6,AQ7&gt;=24,AR7&gt;=60),"Зачет","Незачет")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215</v>
      </c>
      <c r="C8" s="27" t="s">
        <v>121</v>
      </c>
      <c r="D8" s="27" t="n">
        <v>466080</v>
      </c>
      <c r="E8" s="28" t="s">
        <v>45</v>
      </c>
      <c r="F8" s="28" t="s">
        <v>45</v>
      </c>
      <c r="G8" s="28" t="s">
        <v>45</v>
      </c>
      <c r="H8" s="28" t="s">
        <v>519</v>
      </c>
      <c r="I8" s="28" t="s">
        <v>519</v>
      </c>
      <c r="J8" s="28" t="s">
        <v>519</v>
      </c>
      <c r="K8" s="28" t="s">
        <v>519</v>
      </c>
      <c r="L8" s="28" t="s">
        <v>519</v>
      </c>
      <c r="M8" s="29" t="s">
        <v>519</v>
      </c>
      <c r="N8" s="29" t="s">
        <v>519</v>
      </c>
      <c r="O8" s="29" t="s">
        <v>519</v>
      </c>
      <c r="P8" s="29"/>
      <c r="Q8" s="29"/>
      <c r="R8" s="29"/>
      <c r="S8" s="29"/>
      <c r="T8" s="29"/>
      <c r="U8" s="30"/>
      <c r="V8" s="31" t="n">
        <v>31205</v>
      </c>
      <c r="W8" s="102" t="n">
        <v>45623</v>
      </c>
      <c r="X8" s="33" t="n">
        <v>17</v>
      </c>
      <c r="Y8" s="34"/>
      <c r="Z8" s="35" t="n">
        <v>20005</v>
      </c>
      <c r="AA8" s="36" t="n">
        <v>45651</v>
      </c>
      <c r="AB8" s="36" t="n">
        <v>45671</v>
      </c>
      <c r="AC8" s="36" t="n">
        <v>45671</v>
      </c>
      <c r="AD8" s="37" t="n">
        <v>18</v>
      </c>
      <c r="AE8" s="38"/>
      <c r="AF8" s="39"/>
      <c r="AG8" s="39"/>
      <c r="AH8" s="40"/>
      <c r="AI8" s="36" t="n">
        <v>45645</v>
      </c>
      <c r="AJ8" s="28" t="n">
        <v>4</v>
      </c>
      <c r="AK8" s="36" t="n">
        <v>45645</v>
      </c>
      <c r="AL8" s="28" t="n">
        <v>4</v>
      </c>
      <c r="AM8" s="37" t="n">
        <f aca="false">SUM(AJ8,AL8)</f>
        <v>8</v>
      </c>
      <c r="AN8" s="42"/>
      <c r="AO8" s="43" t="str">
        <f aca="false">IF(AND(X8&gt;=12,AD8&gt;=12,AM8&gt;=6),"да","нет")</f>
        <v>да</v>
      </c>
      <c r="AP8" s="2"/>
      <c r="AQ8" s="2" t="n">
        <v>32</v>
      </c>
      <c r="AR8" s="23" t="n">
        <f aca="false">SUM(X8,AD8,AF8,AG8,AM8,AQ8,AP8)</f>
        <v>75</v>
      </c>
      <c r="AS8" s="29" t="str">
        <f aca="false">IF(AND(X8&gt;=12,AD8&gt;=12,AM8&gt;=6,AQ8&gt;=24,AR8&gt;=60),"Зачет","Незачет")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219</v>
      </c>
      <c r="C9" s="27" t="s">
        <v>121</v>
      </c>
      <c r="D9" s="27" t="n">
        <v>466103</v>
      </c>
      <c r="E9" s="28" t="s">
        <v>45</v>
      </c>
      <c r="F9" s="28" t="s">
        <v>45</v>
      </c>
      <c r="G9" s="28" t="s">
        <v>522</v>
      </c>
      <c r="H9" s="28" t="s">
        <v>519</v>
      </c>
      <c r="I9" s="28" t="s">
        <v>45</v>
      </c>
      <c r="J9" s="28" t="s">
        <v>45</v>
      </c>
      <c r="K9" s="28" t="s">
        <v>522</v>
      </c>
      <c r="L9" s="28" t="s">
        <v>519</v>
      </c>
      <c r="M9" s="29"/>
      <c r="N9" s="29"/>
      <c r="O9" s="29"/>
      <c r="P9" s="29"/>
      <c r="Q9" s="29"/>
      <c r="R9" s="29"/>
      <c r="S9" s="29"/>
      <c r="T9" s="29"/>
      <c r="U9" s="30"/>
      <c r="V9" s="31" t="n">
        <v>31206</v>
      </c>
      <c r="W9" s="32" t="n">
        <v>30.1</v>
      </c>
      <c r="X9" s="33" t="n">
        <v>18</v>
      </c>
      <c r="Y9" s="34"/>
      <c r="Z9" s="35" t="n">
        <v>20001</v>
      </c>
      <c r="AA9" s="36" t="n">
        <v>45637</v>
      </c>
      <c r="AB9" s="36" t="n">
        <v>45651</v>
      </c>
      <c r="AC9" s="36" t="n">
        <v>45651</v>
      </c>
      <c r="AD9" s="37" t="n">
        <v>20</v>
      </c>
      <c r="AE9" s="38"/>
      <c r="AF9" s="39"/>
      <c r="AG9" s="39"/>
      <c r="AH9" s="44"/>
      <c r="AI9" s="36" t="n">
        <v>45644</v>
      </c>
      <c r="AJ9" s="28" t="n">
        <v>5</v>
      </c>
      <c r="AK9" s="36" t="n">
        <v>45644</v>
      </c>
      <c r="AL9" s="28" t="n">
        <v>5</v>
      </c>
      <c r="AM9" s="37" t="n">
        <f aca="false">SUM(AJ9,AL9)</f>
        <v>10</v>
      </c>
      <c r="AN9" s="42"/>
      <c r="AO9" s="43" t="str">
        <f aca="false">IF(AND(X9&gt;=12,AD9&gt;=12,AM9&gt;=6),"да","нет")</f>
        <v>да</v>
      </c>
      <c r="AP9" s="2"/>
      <c r="AQ9" s="2" t="n">
        <v>40</v>
      </c>
      <c r="AR9" s="23" t="n">
        <f aca="false">SUM(X9,AD9,AF9,AG9,AM9,AQ9,AP9)</f>
        <v>88</v>
      </c>
      <c r="AS9" s="29" t="str">
        <f aca="false">IF(AND(X9&gt;=12,AD9&gt;=12,AM9&gt;=6,AQ9&gt;=24,AR9&gt;=60),"Зачет","Незачет")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235</v>
      </c>
      <c r="C10" s="27" t="s">
        <v>121</v>
      </c>
      <c r="D10" s="27" t="n">
        <v>466221</v>
      </c>
      <c r="E10" s="28" t="s">
        <v>45</v>
      </c>
      <c r="F10" s="28" t="s">
        <v>45</v>
      </c>
      <c r="G10" s="28" t="s">
        <v>45</v>
      </c>
      <c r="H10" s="28" t="s">
        <v>519</v>
      </c>
      <c r="I10" s="28" t="s">
        <v>519</v>
      </c>
      <c r="J10" s="28" t="s">
        <v>45</v>
      </c>
      <c r="K10" s="28" t="s">
        <v>45</v>
      </c>
      <c r="L10" s="28" t="s">
        <v>522</v>
      </c>
      <c r="M10" s="29"/>
      <c r="N10" s="29"/>
      <c r="O10" s="29"/>
      <c r="P10" s="29"/>
      <c r="Q10" s="29"/>
      <c r="R10" s="29"/>
      <c r="S10" s="29"/>
      <c r="T10" s="29"/>
      <c r="U10" s="30"/>
      <c r="V10" s="31" t="n">
        <v>31207</v>
      </c>
      <c r="W10" s="102" t="n">
        <v>45609</v>
      </c>
      <c r="X10" s="33" t="n">
        <v>18</v>
      </c>
      <c r="Y10" s="34"/>
      <c r="Z10" s="35" t="n">
        <v>20002</v>
      </c>
      <c r="AA10" s="36" t="n">
        <v>45651</v>
      </c>
      <c r="AB10" s="36" t="n">
        <v>45651</v>
      </c>
      <c r="AC10" s="36" t="n">
        <v>45651</v>
      </c>
      <c r="AD10" s="37" t="n">
        <v>18</v>
      </c>
      <c r="AE10" s="38"/>
      <c r="AF10" s="39"/>
      <c r="AG10" s="39"/>
      <c r="AH10" s="40"/>
      <c r="AI10" s="36" t="n">
        <v>45645</v>
      </c>
      <c r="AJ10" s="28" t="n">
        <v>3.5</v>
      </c>
      <c r="AK10" s="36" t="n">
        <v>45645</v>
      </c>
      <c r="AL10" s="28" t="n">
        <v>3.5</v>
      </c>
      <c r="AM10" s="37" t="n">
        <f aca="false">SUM(AJ10,AL10)</f>
        <v>7</v>
      </c>
      <c r="AN10" s="42"/>
      <c r="AO10" s="43" t="str">
        <f aca="false">IF(AND(X10&gt;=12,AD10&gt;=12,AM10&gt;=6),"да","нет")</f>
        <v>да</v>
      </c>
      <c r="AP10" s="2"/>
      <c r="AQ10" s="2" t="n">
        <v>40</v>
      </c>
      <c r="AR10" s="23" t="n">
        <f aca="false">SUM(X10,AD10,AF10,AG10,AM10,AQ10,AP10)</f>
        <v>83</v>
      </c>
      <c r="AS10" s="29" t="str">
        <f aca="false">IF(AND(X10&gt;=12,AD10&gt;=12,AM10&gt;=6,AQ10&gt;=24,AR10&gt;=60),"Зачет","Незачет")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249</v>
      </c>
      <c r="C11" s="27" t="s">
        <v>121</v>
      </c>
      <c r="D11" s="27" t="n">
        <v>466342</v>
      </c>
      <c r="E11" s="28" t="s">
        <v>45</v>
      </c>
      <c r="F11" s="28" t="s">
        <v>45</v>
      </c>
      <c r="G11" s="28" t="s">
        <v>519</v>
      </c>
      <c r="H11" s="28" t="s">
        <v>518</v>
      </c>
      <c r="I11" s="28" t="s">
        <v>519</v>
      </c>
      <c r="J11" s="28" t="s">
        <v>45</v>
      </c>
      <c r="K11" s="28" t="s">
        <v>519</v>
      </c>
      <c r="L11" s="28" t="s">
        <v>519</v>
      </c>
      <c r="M11" s="29" t="s">
        <v>519</v>
      </c>
      <c r="N11" s="29"/>
      <c r="O11" s="29" t="s">
        <v>519</v>
      </c>
      <c r="P11" s="29"/>
      <c r="Q11" s="29"/>
      <c r="R11" s="29"/>
      <c r="S11" s="29"/>
      <c r="T11" s="29"/>
      <c r="U11" s="30"/>
      <c r="V11" s="31" t="n">
        <v>31208</v>
      </c>
      <c r="W11" s="102" t="n">
        <v>45609</v>
      </c>
      <c r="X11" s="33" t="n">
        <v>19</v>
      </c>
      <c r="Y11" s="34"/>
      <c r="Z11" s="35" t="n">
        <v>20003</v>
      </c>
      <c r="AA11" s="36" t="n">
        <v>45651</v>
      </c>
      <c r="AB11" s="36" t="n">
        <v>45666</v>
      </c>
      <c r="AC11" s="36" t="n">
        <v>45666</v>
      </c>
      <c r="AD11" s="37" t="n">
        <v>18</v>
      </c>
      <c r="AE11" s="38"/>
      <c r="AF11" s="39"/>
      <c r="AG11" s="39"/>
      <c r="AH11" s="40"/>
      <c r="AI11" s="36" t="n">
        <v>45645</v>
      </c>
      <c r="AJ11" s="28" t="n">
        <v>3.5</v>
      </c>
      <c r="AK11" s="36" t="n">
        <v>45645</v>
      </c>
      <c r="AL11" s="28" t="n">
        <v>3.5</v>
      </c>
      <c r="AM11" s="37" t="n">
        <f aca="false">SUM(AJ11,AL11)</f>
        <v>7</v>
      </c>
      <c r="AN11" s="42"/>
      <c r="AO11" s="43" t="str">
        <f aca="false">IF(AND(X11&gt;=12,AD11&gt;=12,AM11&gt;=6),"да","нет")</f>
        <v>да</v>
      </c>
      <c r="AP11" s="2"/>
      <c r="AQ11" s="2" t="n">
        <v>38</v>
      </c>
      <c r="AR11" s="23" t="n">
        <f aca="false">SUM(X11,AD11,AF11,AG11,AM11,AQ11,AP11)</f>
        <v>82</v>
      </c>
      <c r="AS11" s="29" t="str">
        <f aca="false">IF(AND(X11&gt;=12,AD11&gt;=12,AM11&gt;=6,AQ11&gt;=24,AR11&gt;=60),"Зачет","Незачет")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310</v>
      </c>
      <c r="C12" s="27" t="s">
        <v>121</v>
      </c>
      <c r="D12" s="27" t="n">
        <v>407889</v>
      </c>
      <c r="E12" s="28" t="s">
        <v>45</v>
      </c>
      <c r="F12" s="28" t="s">
        <v>518</v>
      </c>
      <c r="G12" s="28" t="s">
        <v>45</v>
      </c>
      <c r="H12" s="28" t="s">
        <v>518</v>
      </c>
      <c r="I12" s="28" t="s">
        <v>45</v>
      </c>
      <c r="J12" s="28" t="s">
        <v>518</v>
      </c>
      <c r="K12" s="28" t="s">
        <v>518</v>
      </c>
      <c r="L12" s="28" t="s">
        <v>518</v>
      </c>
      <c r="M12" s="147"/>
      <c r="N12" s="147"/>
      <c r="O12" s="147"/>
      <c r="P12" s="148" t="s">
        <v>519</v>
      </c>
      <c r="Q12" s="148" t="s">
        <v>519</v>
      </c>
      <c r="R12" s="148" t="s">
        <v>519</v>
      </c>
      <c r="S12" s="148"/>
      <c r="T12" s="148"/>
      <c r="U12" s="30"/>
      <c r="V12" s="31" t="n">
        <v>31209</v>
      </c>
      <c r="W12" s="32" t="n">
        <v>45693</v>
      </c>
      <c r="X12" s="33" t="n">
        <v>12</v>
      </c>
      <c r="Y12" s="34"/>
      <c r="Z12" s="35" t="n">
        <v>20014</v>
      </c>
      <c r="AA12" s="36" t="n">
        <v>45695</v>
      </c>
      <c r="AB12" s="36" t="n">
        <v>45695</v>
      </c>
      <c r="AC12" s="36" t="n">
        <v>45695</v>
      </c>
      <c r="AD12" s="37" t="n">
        <v>12</v>
      </c>
      <c r="AE12" s="38"/>
      <c r="AF12" s="39"/>
      <c r="AG12" s="39"/>
      <c r="AH12" s="40"/>
      <c r="AI12" s="36" t="n">
        <v>45645</v>
      </c>
      <c r="AJ12" s="28" t="n">
        <v>3</v>
      </c>
      <c r="AK12" s="36" t="n">
        <v>45645</v>
      </c>
      <c r="AL12" s="28" t="n">
        <v>3</v>
      </c>
      <c r="AM12" s="37" t="n">
        <f aca="false">SUM(AJ12,AL12)</f>
        <v>6</v>
      </c>
      <c r="AN12" s="42"/>
      <c r="AO12" s="43" t="str">
        <f aca="false">IF(AND(X12&gt;=12,AD12&gt;=12,AM12&gt;=6),"да","нет")</f>
        <v>да</v>
      </c>
      <c r="AP12" s="2"/>
      <c r="AQ12" s="149" t="n">
        <v>31</v>
      </c>
      <c r="AR12" s="23" t="n">
        <f aca="false">SUM(X12,AD12,AF12,AG12,AM12,AQ12,AP12)</f>
        <v>61</v>
      </c>
      <c r="AS12" s="29" t="str">
        <f aca="false">IF(AND(X12&gt;=12,AD12&gt;=12,AM12&gt;=6,AQ12&gt;=24,AR12&gt;=60),"Зачет","Незачет")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311</v>
      </c>
      <c r="C13" s="27" t="s">
        <v>121</v>
      </c>
      <c r="D13" s="27" t="n">
        <v>466785</v>
      </c>
      <c r="E13" s="28" t="s">
        <v>45</v>
      </c>
      <c r="F13" s="28" t="s">
        <v>45</v>
      </c>
      <c r="G13" s="28" t="s">
        <v>519</v>
      </c>
      <c r="H13" s="28" t="s">
        <v>519</v>
      </c>
      <c r="I13" s="28" t="s">
        <v>519</v>
      </c>
      <c r="J13" s="28" t="s">
        <v>519</v>
      </c>
      <c r="K13" s="28" t="s">
        <v>519</v>
      </c>
      <c r="L13" s="28" t="s">
        <v>519</v>
      </c>
      <c r="M13" s="29"/>
      <c r="N13" s="29"/>
      <c r="O13" s="29"/>
      <c r="P13" s="29"/>
      <c r="Q13" s="29"/>
      <c r="R13" s="29"/>
      <c r="S13" s="29"/>
      <c r="T13" s="29"/>
      <c r="U13" s="30"/>
      <c r="V13" s="31" t="n">
        <v>31210</v>
      </c>
      <c r="W13" s="102" t="n">
        <v>45623</v>
      </c>
      <c r="X13" s="33" t="n">
        <v>18</v>
      </c>
      <c r="Y13" s="34"/>
      <c r="Z13" s="35" t="n">
        <v>20006</v>
      </c>
      <c r="AA13" s="36" t="n">
        <v>45637</v>
      </c>
      <c r="AB13" s="36" t="n">
        <v>45651</v>
      </c>
      <c r="AC13" s="36" t="n">
        <v>45651</v>
      </c>
      <c r="AD13" s="37" t="n">
        <v>20</v>
      </c>
      <c r="AE13" s="38"/>
      <c r="AF13" s="39"/>
      <c r="AG13" s="39"/>
      <c r="AH13" s="40"/>
      <c r="AI13" s="36" t="n">
        <v>45671</v>
      </c>
      <c r="AJ13" s="28" t="n">
        <v>5</v>
      </c>
      <c r="AK13" s="36" t="n">
        <v>45671</v>
      </c>
      <c r="AL13" s="28" t="n">
        <v>5</v>
      </c>
      <c r="AM13" s="37" t="n">
        <f aca="false">SUM(AJ13,AL13)</f>
        <v>10</v>
      </c>
      <c r="AN13" s="42"/>
      <c r="AO13" s="43" t="str">
        <f aca="false">IF(AND(X13&gt;=12,AD13&gt;=12,AM13&gt;=6),"да","нет")</f>
        <v>да</v>
      </c>
      <c r="AP13" s="2"/>
      <c r="AQ13" s="2" t="n">
        <v>40</v>
      </c>
      <c r="AR13" s="23" t="n">
        <f aca="false">SUM(X13,AD13,AF13,AG13,AM13,AQ13,AP13)</f>
        <v>88</v>
      </c>
      <c r="AS13" s="29" t="str">
        <f aca="false">IF(AND(X13&gt;=12,AD13&gt;=12,AM13&gt;=6,AQ13&gt;=24,AR13&gt;=60),"Зачет","Незачет")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364</v>
      </c>
      <c r="C14" s="27" t="s">
        <v>121</v>
      </c>
      <c r="D14" s="27" t="n">
        <v>467185</v>
      </c>
      <c r="E14" s="28" t="s">
        <v>45</v>
      </c>
      <c r="F14" s="28" t="s">
        <v>45</v>
      </c>
      <c r="G14" s="28" t="s">
        <v>45</v>
      </c>
      <c r="H14" s="28" t="s">
        <v>519</v>
      </c>
      <c r="I14" s="28" t="s">
        <v>519</v>
      </c>
      <c r="J14" s="28" t="s">
        <v>45</v>
      </c>
      <c r="K14" s="28" t="s">
        <v>522</v>
      </c>
      <c r="L14" s="28" t="s">
        <v>518</v>
      </c>
      <c r="M14" s="29" t="s">
        <v>519</v>
      </c>
      <c r="N14" s="29" t="s">
        <v>519</v>
      </c>
      <c r="O14" s="29" t="s">
        <v>519</v>
      </c>
      <c r="P14" s="29"/>
      <c r="Q14" s="29"/>
      <c r="R14" s="29"/>
      <c r="S14" s="29"/>
      <c r="T14" s="29"/>
      <c r="U14" s="30"/>
      <c r="V14" s="31" t="n">
        <v>31211</v>
      </c>
      <c r="W14" s="32" t="n">
        <v>45637</v>
      </c>
      <c r="X14" s="33" t="n">
        <v>17</v>
      </c>
      <c r="Y14" s="34"/>
      <c r="Z14" s="35" t="n">
        <v>20010</v>
      </c>
      <c r="AA14" s="127" t="n">
        <v>45671</v>
      </c>
      <c r="AB14" s="36" t="n">
        <v>45673</v>
      </c>
      <c r="AC14" s="36" t="n">
        <v>45673</v>
      </c>
      <c r="AD14" s="37" t="n">
        <v>15</v>
      </c>
      <c r="AE14" s="38"/>
      <c r="AF14" s="39"/>
      <c r="AG14" s="39"/>
      <c r="AH14" s="40"/>
      <c r="AI14" s="36" t="n">
        <v>45671</v>
      </c>
      <c r="AJ14" s="28" t="n">
        <v>3</v>
      </c>
      <c r="AK14" s="36" t="n">
        <v>45671</v>
      </c>
      <c r="AL14" s="28" t="n">
        <v>3</v>
      </c>
      <c r="AM14" s="37" t="n">
        <f aca="false">SUM(AJ14,AL14)</f>
        <v>6</v>
      </c>
      <c r="AN14" s="42"/>
      <c r="AO14" s="43" t="str">
        <f aca="false">IF(AND(X14&gt;=12,AD14&gt;=12,AM14&gt;=6),"да","нет")</f>
        <v>да</v>
      </c>
      <c r="AP14" s="2"/>
      <c r="AQ14" s="2" t="n">
        <v>24</v>
      </c>
      <c r="AR14" s="23" t="n">
        <f aca="false">SUM(X14,AD14,AF14,AG14,AM14,AQ14,AP14)</f>
        <v>62</v>
      </c>
      <c r="AS14" s="29" t="str">
        <f aca="false">IF(AND(X14&gt;=12,AD14&gt;=12,AM14&gt;=6,AQ14&gt;=24,AR14&gt;=60),"Зачет","Незачет")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390</v>
      </c>
      <c r="C15" s="27" t="s">
        <v>121</v>
      </c>
      <c r="D15" s="27" t="n">
        <v>467329</v>
      </c>
      <c r="E15" s="28" t="s">
        <v>45</v>
      </c>
      <c r="F15" s="28" t="s">
        <v>45</v>
      </c>
      <c r="G15" s="28" t="s">
        <v>45</v>
      </c>
      <c r="H15" s="28" t="s">
        <v>519</v>
      </c>
      <c r="I15" s="28" t="s">
        <v>45</v>
      </c>
      <c r="J15" s="28" t="s">
        <v>519</v>
      </c>
      <c r="K15" s="28" t="s">
        <v>519</v>
      </c>
      <c r="L15" s="28" t="s">
        <v>518</v>
      </c>
      <c r="M15" s="29" t="s">
        <v>519</v>
      </c>
      <c r="N15" s="29" t="s">
        <v>519</v>
      </c>
      <c r="O15" s="29" t="s">
        <v>519</v>
      </c>
      <c r="P15" s="29"/>
      <c r="Q15" s="29"/>
      <c r="R15" s="29"/>
      <c r="S15" s="29"/>
      <c r="T15" s="29"/>
      <c r="U15" s="30"/>
      <c r="V15" s="31" t="n">
        <v>31212</v>
      </c>
      <c r="W15" s="102" t="n">
        <v>45637</v>
      </c>
      <c r="X15" s="33" t="n">
        <v>16</v>
      </c>
      <c r="Y15" s="34"/>
      <c r="Z15" s="35" t="n">
        <v>20007</v>
      </c>
      <c r="AA15" s="36" t="n">
        <v>45666</v>
      </c>
      <c r="AB15" s="36" t="n">
        <v>45673</v>
      </c>
      <c r="AC15" s="36" t="n">
        <v>45673</v>
      </c>
      <c r="AD15" s="37" t="n">
        <v>17</v>
      </c>
      <c r="AE15" s="38"/>
      <c r="AF15" s="39"/>
      <c r="AG15" s="39"/>
      <c r="AH15" s="40"/>
      <c r="AI15" s="36" t="n">
        <v>45671</v>
      </c>
      <c r="AJ15" s="28" t="n">
        <v>3</v>
      </c>
      <c r="AK15" s="36" t="n">
        <v>45671</v>
      </c>
      <c r="AL15" s="28" t="n">
        <v>3</v>
      </c>
      <c r="AM15" s="37" t="n">
        <f aca="false">SUM(AJ15,AL15)</f>
        <v>6</v>
      </c>
      <c r="AN15" s="42"/>
      <c r="AO15" s="43" t="str">
        <f aca="false">IF(AND(X15&gt;=12,AD15&gt;=12,AM15&gt;=6),"да","нет")</f>
        <v>да</v>
      </c>
      <c r="AP15" s="2"/>
      <c r="AQ15" s="37" t="n">
        <v>25</v>
      </c>
      <c r="AR15" s="23" t="n">
        <f aca="false">SUM(X15,AD15,AF15,AG15,AM15,AQ15,AP15)</f>
        <v>64</v>
      </c>
      <c r="AS15" s="29" t="str">
        <f aca="false">IF(AND(X15&gt;=12,AD15&gt;=12,AM15&gt;=6,AQ15&gt;=24,AR15&gt;=60),"Зачет","Незачет")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435</v>
      </c>
      <c r="C16" s="27" t="s">
        <v>121</v>
      </c>
      <c r="D16" s="27" t="n">
        <v>467618</v>
      </c>
      <c r="E16" s="28" t="s">
        <v>45</v>
      </c>
      <c r="F16" s="28" t="s">
        <v>45</v>
      </c>
      <c r="G16" s="28" t="s">
        <v>45</v>
      </c>
      <c r="H16" s="28" t="s">
        <v>519</v>
      </c>
      <c r="I16" s="28" t="s">
        <v>519</v>
      </c>
      <c r="J16" s="28" t="s">
        <v>45</v>
      </c>
      <c r="K16" s="28" t="s">
        <v>525</v>
      </c>
      <c r="L16" s="28" t="s">
        <v>519</v>
      </c>
      <c r="M16" s="29"/>
      <c r="N16" s="29"/>
      <c r="O16" s="29"/>
      <c r="P16" s="29"/>
      <c r="Q16" s="29"/>
      <c r="R16" s="29"/>
      <c r="S16" s="29"/>
      <c r="T16" s="29"/>
      <c r="U16" s="30"/>
      <c r="V16" s="31" t="n">
        <v>31213</v>
      </c>
      <c r="W16" s="102" t="n">
        <v>45637</v>
      </c>
      <c r="X16" s="33" t="n">
        <v>16</v>
      </c>
      <c r="Y16" s="34"/>
      <c r="Z16" s="35" t="n">
        <v>27777</v>
      </c>
      <c r="AA16" s="36" t="n">
        <v>45637</v>
      </c>
      <c r="AB16" s="36" t="n">
        <v>45651</v>
      </c>
      <c r="AC16" s="36" t="n">
        <v>45651</v>
      </c>
      <c r="AD16" s="37" t="n">
        <v>19</v>
      </c>
      <c r="AE16" s="38"/>
      <c r="AF16" s="39"/>
      <c r="AG16" s="39"/>
      <c r="AH16" s="40"/>
      <c r="AI16" s="36" t="n">
        <v>45645</v>
      </c>
      <c r="AJ16" s="28" t="n">
        <v>3</v>
      </c>
      <c r="AK16" s="36" t="n">
        <v>45645</v>
      </c>
      <c r="AL16" s="28" t="n">
        <v>3</v>
      </c>
      <c r="AM16" s="37" t="n">
        <f aca="false">SUM(AJ16,AL16)</f>
        <v>6</v>
      </c>
      <c r="AN16" s="42"/>
      <c r="AO16" s="43" t="str">
        <f aca="false">IF(AND(X16&gt;=12,AD16&gt;=12,AM16&gt;=6),"да","нет")</f>
        <v>да</v>
      </c>
      <c r="AP16" s="2"/>
      <c r="AQ16" s="2" t="n">
        <v>40</v>
      </c>
      <c r="AR16" s="23" t="n">
        <f aca="false">SUM(X16,AD16,AF16,AG16,AM16,AQ16,AP16)</f>
        <v>81</v>
      </c>
      <c r="AS16" s="29" t="str">
        <f aca="false">IF(AND(X16&gt;=12,AD16&gt;=12,AM16&gt;=6,AQ16&gt;=24,AR16&gt;=60),"Зачет","Незачет")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437</v>
      </c>
      <c r="C17" s="27" t="s">
        <v>121</v>
      </c>
      <c r="D17" s="27" t="n">
        <v>467622</v>
      </c>
      <c r="E17" s="28" t="s">
        <v>45</v>
      </c>
      <c r="F17" s="28" t="s">
        <v>45</v>
      </c>
      <c r="G17" s="28" t="s">
        <v>518</v>
      </c>
      <c r="H17" s="28" t="s">
        <v>518</v>
      </c>
      <c r="I17" s="28" t="s">
        <v>518</v>
      </c>
      <c r="J17" s="28" t="s">
        <v>518</v>
      </c>
      <c r="K17" s="28" t="s">
        <v>518</v>
      </c>
      <c r="L17" s="28" t="s">
        <v>518</v>
      </c>
      <c r="M17" s="147"/>
      <c r="N17" s="147"/>
      <c r="O17" s="147"/>
      <c r="P17" s="147"/>
      <c r="Q17" s="147"/>
      <c r="R17" s="147"/>
      <c r="S17" s="147"/>
      <c r="T17" s="147"/>
      <c r="U17" s="30"/>
      <c r="V17" s="31" t="n">
        <v>31214</v>
      </c>
      <c r="W17" s="150"/>
      <c r="X17" s="151"/>
      <c r="Y17" s="34"/>
      <c r="Z17" s="152"/>
      <c r="AA17" s="153"/>
      <c r="AB17" s="153"/>
      <c r="AC17" s="153"/>
      <c r="AD17" s="154"/>
      <c r="AE17" s="38"/>
      <c r="AF17" s="155"/>
      <c r="AG17" s="155"/>
      <c r="AH17" s="44"/>
      <c r="AI17" s="153"/>
      <c r="AJ17" s="153"/>
      <c r="AK17" s="153"/>
      <c r="AL17" s="153"/>
      <c r="AM17" s="154" t="n">
        <f aca="false">SUM(AJ17,AL17)</f>
        <v>0</v>
      </c>
      <c r="AN17" s="42"/>
      <c r="AO17" s="43" t="str">
        <f aca="false">IF(AND(X17&gt;=12,AD17&gt;=12,AM17&gt;=6),"да","нет")</f>
        <v>нет</v>
      </c>
      <c r="AP17" s="2"/>
      <c r="AQ17" s="2"/>
      <c r="AR17" s="23" t="n">
        <f aca="false">SUM(X17,AD17,AF17,AG17,AM17,AQ17,AP17)</f>
        <v>0</v>
      </c>
      <c r="AS17" s="29" t="str">
        <f aca="false">IF(AND(X17&gt;=12,AD17&gt;=12,AM17&gt;=6,AQ17&gt;=24,AR17&gt;=60),"Зачет","Незачет")</f>
        <v>Незачет</v>
      </c>
    </row>
    <row r="18" customFormat="false" ht="15.75" hidden="false" customHeight="false" outlineLevel="0" collapsed="false">
      <c r="A18" s="25" t="n">
        <v>16</v>
      </c>
      <c r="B18" s="26" t="s">
        <v>486</v>
      </c>
      <c r="C18" s="27" t="s">
        <v>121</v>
      </c>
      <c r="D18" s="27" t="n">
        <v>475237</v>
      </c>
      <c r="E18" s="28" t="s">
        <v>45</v>
      </c>
      <c r="F18" s="28" t="s">
        <v>45</v>
      </c>
      <c r="G18" s="28" t="s">
        <v>45</v>
      </c>
      <c r="H18" s="28" t="s">
        <v>45</v>
      </c>
      <c r="I18" s="28" t="s">
        <v>45</v>
      </c>
      <c r="J18" s="28" t="s">
        <v>519</v>
      </c>
      <c r="K18" s="28" t="s">
        <v>519</v>
      </c>
      <c r="L18" s="28" t="s">
        <v>45</v>
      </c>
      <c r="M18" s="147"/>
      <c r="N18" s="147"/>
      <c r="O18" s="147"/>
      <c r="P18" s="148"/>
      <c r="Q18" s="148"/>
      <c r="R18" s="148" t="s">
        <v>519</v>
      </c>
      <c r="S18" s="148"/>
      <c r="T18" s="148" t="s">
        <v>519</v>
      </c>
      <c r="U18" s="30"/>
      <c r="V18" s="31" t="n">
        <v>31215</v>
      </c>
      <c r="W18" s="32" t="n">
        <v>45637</v>
      </c>
      <c r="X18" s="33" t="n">
        <v>18</v>
      </c>
      <c r="Y18" s="34"/>
      <c r="Z18" s="35" t="n">
        <v>20011</v>
      </c>
      <c r="AA18" s="36" t="n">
        <v>45698</v>
      </c>
      <c r="AB18" s="36" t="n">
        <v>45698</v>
      </c>
      <c r="AC18" s="36" t="n">
        <v>45716</v>
      </c>
      <c r="AD18" s="37" t="n">
        <v>12</v>
      </c>
      <c r="AE18" s="38"/>
      <c r="AF18" s="39"/>
      <c r="AG18" s="39"/>
      <c r="AH18" s="40"/>
      <c r="AI18" s="36" t="n">
        <v>45645</v>
      </c>
      <c r="AJ18" s="28" t="n">
        <v>3</v>
      </c>
      <c r="AK18" s="36" t="n">
        <v>45645</v>
      </c>
      <c r="AL18" s="28" t="n">
        <v>3</v>
      </c>
      <c r="AM18" s="37" t="n">
        <f aca="false">SUM(AJ18,AL18)</f>
        <v>6</v>
      </c>
      <c r="AN18" s="42"/>
      <c r="AO18" s="43" t="str">
        <f aca="false">IF(AND(X18&gt;=12,AD18&gt;=12,AM18&gt;=6),"да","нет")</f>
        <v>да</v>
      </c>
      <c r="AP18" s="2"/>
      <c r="AQ18" s="149" t="n">
        <v>27</v>
      </c>
      <c r="AR18" s="23" t="n">
        <f aca="false">SUM(X18,AD18,AF18,AG18,AM18,AQ18,AP18)</f>
        <v>63</v>
      </c>
      <c r="AS18" s="29" t="str">
        <f aca="false">IF(AND(X18&gt;=12,AD18&gt;=12,AM18&gt;=6,AQ18&gt;=24,AR18&gt;=60),"Зачет","Незачет")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503</v>
      </c>
      <c r="C19" s="27" t="s">
        <v>121</v>
      </c>
      <c r="D19" s="27" t="n">
        <v>409953</v>
      </c>
      <c r="E19" s="28" t="s">
        <v>45</v>
      </c>
      <c r="F19" s="28" t="s">
        <v>518</v>
      </c>
      <c r="G19" s="28" t="s">
        <v>518</v>
      </c>
      <c r="H19" s="28" t="s">
        <v>518</v>
      </c>
      <c r="I19" s="28" t="s">
        <v>518</v>
      </c>
      <c r="J19" s="28" t="s">
        <v>518</v>
      </c>
      <c r="K19" s="28" t="s">
        <v>518</v>
      </c>
      <c r="L19" s="28" t="s">
        <v>518</v>
      </c>
      <c r="M19" s="147"/>
      <c r="N19" s="147"/>
      <c r="O19" s="147"/>
      <c r="P19" s="148"/>
      <c r="Q19" s="148" t="s">
        <v>519</v>
      </c>
      <c r="R19" s="148" t="s">
        <v>519</v>
      </c>
      <c r="S19" s="148" t="s">
        <v>519</v>
      </c>
      <c r="T19" s="148"/>
      <c r="U19" s="30"/>
      <c r="V19" s="31" t="n">
        <v>31216</v>
      </c>
      <c r="W19" s="32" t="n">
        <v>45695</v>
      </c>
      <c r="X19" s="33" t="n">
        <v>12</v>
      </c>
      <c r="Y19" s="34"/>
      <c r="Z19" s="35" t="n">
        <v>20015</v>
      </c>
      <c r="AA19" s="36" t="n">
        <v>45698</v>
      </c>
      <c r="AB19" s="36" t="n">
        <v>45698</v>
      </c>
      <c r="AC19" s="36" t="n">
        <v>45706</v>
      </c>
      <c r="AD19" s="37" t="n">
        <v>12</v>
      </c>
      <c r="AE19" s="38"/>
      <c r="AF19" s="39"/>
      <c r="AG19" s="39"/>
      <c r="AH19" s="40"/>
      <c r="AI19" s="36" t="n">
        <v>45652</v>
      </c>
      <c r="AJ19" s="28" t="n">
        <v>3</v>
      </c>
      <c r="AK19" s="36" t="n">
        <v>45652</v>
      </c>
      <c r="AL19" s="28" t="n">
        <v>3</v>
      </c>
      <c r="AM19" s="37" t="n">
        <f aca="false">SUM(AJ19,AL19)</f>
        <v>6</v>
      </c>
      <c r="AN19" s="42"/>
      <c r="AO19" s="43" t="str">
        <f aca="false">IF(AND(X19&gt;=12,AD19&gt;=12,AM19&gt;=6),"да","нет")</f>
        <v>да</v>
      </c>
      <c r="AP19" s="2"/>
      <c r="AQ19" s="149" t="n">
        <v>31</v>
      </c>
      <c r="AR19" s="23" t="n">
        <f aca="false">SUM(X19,AD19,AF19,AG19,AM19,AQ19,AP19)</f>
        <v>61</v>
      </c>
      <c r="AS19" s="29" t="str">
        <f aca="false">IF(AND(X19&gt;=12,AD19&gt;=12,AM19&gt;=6,AQ19&gt;=24,AR19&gt;=60),"Зачет","Незачет")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 t="s">
        <v>505</v>
      </c>
      <c r="C20" s="27" t="s">
        <v>121</v>
      </c>
      <c r="D20" s="27" t="n">
        <v>372978</v>
      </c>
      <c r="E20" s="28" t="s">
        <v>45</v>
      </c>
      <c r="F20" s="28" t="s">
        <v>45</v>
      </c>
      <c r="G20" s="28" t="s">
        <v>45</v>
      </c>
      <c r="H20" s="28" t="s">
        <v>519</v>
      </c>
      <c r="I20" s="28" t="s">
        <v>45</v>
      </c>
      <c r="J20" s="28" t="s">
        <v>519</v>
      </c>
      <c r="K20" s="28" t="s">
        <v>519</v>
      </c>
      <c r="L20" s="28" t="s">
        <v>519</v>
      </c>
      <c r="M20" s="29" t="s">
        <v>519</v>
      </c>
      <c r="N20" s="29"/>
      <c r="O20" s="29" t="s">
        <v>519</v>
      </c>
      <c r="P20" s="29"/>
      <c r="Q20" s="29"/>
      <c r="R20" s="29"/>
      <c r="S20" s="29"/>
      <c r="T20" s="29"/>
      <c r="U20" s="30"/>
      <c r="V20" s="31" t="n">
        <v>31217</v>
      </c>
      <c r="W20" s="102" t="n">
        <v>45637</v>
      </c>
      <c r="X20" s="33" t="n">
        <v>17</v>
      </c>
      <c r="Y20" s="47"/>
      <c r="Z20" s="2" t="n">
        <v>20009</v>
      </c>
      <c r="AA20" s="36" t="n">
        <v>45651</v>
      </c>
      <c r="AB20" s="36" t="n">
        <v>45666</v>
      </c>
      <c r="AC20" s="36" t="n">
        <v>45666</v>
      </c>
      <c r="AD20" s="37" t="n">
        <v>15</v>
      </c>
      <c r="AE20" s="38"/>
      <c r="AF20" s="39"/>
      <c r="AG20" s="39"/>
      <c r="AH20" s="48"/>
      <c r="AI20" s="36" t="n">
        <v>45671</v>
      </c>
      <c r="AJ20" s="28" t="n">
        <v>4.5</v>
      </c>
      <c r="AK20" s="36" t="n">
        <v>45671</v>
      </c>
      <c r="AL20" s="28" t="n">
        <v>4.5</v>
      </c>
      <c r="AM20" s="37" t="n">
        <f aca="false">SUM(AJ20,AL20)</f>
        <v>9</v>
      </c>
      <c r="AN20" s="42"/>
      <c r="AO20" s="43" t="str">
        <f aca="false">IF(AND(X20&gt;=12,AD20&gt;=12,AM20&gt;=6),"да","нет")</f>
        <v>да</v>
      </c>
      <c r="AP20" s="2"/>
      <c r="AQ20" s="2" t="n">
        <v>30</v>
      </c>
      <c r="AR20" s="23" t="n">
        <f aca="false">SUM(X20,AD20,AF20,AG20,AM20,AQ20,AP20)</f>
        <v>71</v>
      </c>
      <c r="AS20" s="29" t="str">
        <f aca="false">IF(AND(X20&gt;=12,AD20&gt;=12,AM20&gt;=6,AQ20&gt;=24,AR20&gt;=60),"Зачет","Незачет")</f>
        <v>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29"/>
      <c r="Q21" s="29"/>
      <c r="R21" s="29"/>
      <c r="S21" s="29"/>
      <c r="T21" s="29"/>
      <c r="U21" s="30"/>
      <c r="V21" s="50"/>
      <c r="W21" s="36"/>
      <c r="X21" s="37"/>
      <c r="Y21" s="47"/>
      <c r="Z21" s="2"/>
      <c r="AA21" s="36"/>
      <c r="AB21" s="36"/>
      <c r="AC21" s="36"/>
      <c r="AD21" s="37"/>
      <c r="AE21" s="38"/>
      <c r="AF21" s="39"/>
      <c r="AG21" s="39"/>
      <c r="AH21" s="48"/>
      <c r="AI21" s="28"/>
      <c r="AJ21" s="28"/>
      <c r="AK21" s="28"/>
      <c r="AL21" s="28"/>
      <c r="AM21" s="37" t="n">
        <f aca="false">SUM(AJ21,AL21)</f>
        <v>0</v>
      </c>
      <c r="AN21" s="42"/>
      <c r="AO21" s="43" t="str">
        <f aca="false">IF(AND(X21&gt;=12,AD21&gt;=12,AM21&gt;=6),"да","нет")</f>
        <v>нет</v>
      </c>
      <c r="AP21" s="2"/>
      <c r="AQ21" s="2"/>
      <c r="AR21" s="23" t="n">
        <f aca="false">SUM(X21,AD21,AF21,AG21,AM21,AQ21,AP21)</f>
        <v>0</v>
      </c>
      <c r="AS21" s="29" t="str">
        <f aca="false">IF(AND(X21&gt;=12,AD21&gt;=12,AM21&gt;=6,AQ21&gt;=24,AR21&gt;=60),"Зачет","Незачет")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29"/>
      <c r="Q22" s="29"/>
      <c r="R22" s="29"/>
      <c r="S22" s="29"/>
      <c r="T22" s="29"/>
      <c r="U22" s="30"/>
      <c r="V22" s="50"/>
      <c r="W22" s="36"/>
      <c r="X22" s="37"/>
      <c r="Y22" s="47"/>
      <c r="Z22" s="2"/>
      <c r="AA22" s="36"/>
      <c r="AB22" s="36"/>
      <c r="AC22" s="36"/>
      <c r="AD22" s="37"/>
      <c r="AE22" s="38"/>
      <c r="AF22" s="39"/>
      <c r="AG22" s="39"/>
      <c r="AH22" s="48"/>
      <c r="AI22" s="28"/>
      <c r="AJ22" s="28"/>
      <c r="AK22" s="28"/>
      <c r="AL22" s="28"/>
      <c r="AM22" s="37" t="n">
        <f aca="false">SUM(AJ22,AL22)</f>
        <v>0</v>
      </c>
      <c r="AN22" s="42"/>
      <c r="AO22" s="43" t="str">
        <f aca="false">IF(AND(X22&gt;=12,AD22&gt;=12,AM22&gt;=6),"да","нет")</f>
        <v>нет</v>
      </c>
      <c r="AP22" s="2"/>
      <c r="AQ22" s="2"/>
      <c r="AR22" s="23" t="n">
        <f aca="false">SUM(X22,AD22,AF22,AG22,AM22,AQ22,AP22)</f>
        <v>0</v>
      </c>
      <c r="AS22" s="29" t="str">
        <f aca="false">IF(AND(X22&gt;=12,AD22&gt;=12,AM22&gt;=6,AQ22&gt;=24,AR22&gt;=60),"Зачет","Незачет")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29"/>
      <c r="Q23" s="29"/>
      <c r="R23" s="29"/>
      <c r="S23" s="29"/>
      <c r="T23" s="29"/>
      <c r="U23" s="30"/>
      <c r="V23" s="50"/>
      <c r="W23" s="36"/>
      <c r="X23" s="37"/>
      <c r="Y23" s="47"/>
      <c r="Z23" s="2"/>
      <c r="AA23" s="36"/>
      <c r="AB23" s="36"/>
      <c r="AC23" s="36"/>
      <c r="AD23" s="37"/>
      <c r="AE23" s="38"/>
      <c r="AF23" s="39"/>
      <c r="AG23" s="39"/>
      <c r="AH23" s="48"/>
      <c r="AI23" s="28"/>
      <c r="AJ23" s="28"/>
      <c r="AK23" s="28"/>
      <c r="AL23" s="28"/>
      <c r="AM23" s="28"/>
      <c r="AN23" s="42"/>
      <c r="AO23" s="43"/>
      <c r="AP23" s="2"/>
      <c r="AQ23" s="2"/>
      <c r="AR23" s="23"/>
      <c r="AS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53"/>
      <c r="AO24" s="47"/>
      <c r="AP24" s="47"/>
      <c r="AQ24" s="47"/>
      <c r="AR24" s="47"/>
      <c r="AS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1</v>
      </c>
      <c r="G25" s="37" t="n">
        <f aca="false">COUNTIF(G$3:G$23, "~**")</f>
        <v>3</v>
      </c>
      <c r="H25" s="37" t="n">
        <f aca="false">COUNTIF(H$3:H$23, "~**")</f>
        <v>9</v>
      </c>
      <c r="I25" s="37" t="n">
        <f aca="false">COUNTIF(I$3:I$23, "~**")</f>
        <v>8</v>
      </c>
      <c r="J25" s="37" t="n">
        <f aca="false">COUNTIF(J$3:J$23, "~**")</f>
        <v>9</v>
      </c>
      <c r="K25" s="37" t="n">
        <f aca="false">COUNTIF(K$3:K$23, "~**")</f>
        <v>13</v>
      </c>
      <c r="L25" s="37" t="n">
        <f aca="false">COUNTIF(L$3:L$23, "~**")</f>
        <v>12</v>
      </c>
      <c r="M25" s="54" t="n">
        <f aca="false">COUNTIF(M$3:M$23, "~**")</f>
        <v>6</v>
      </c>
      <c r="N25" s="54" t="n">
        <f aca="false">COUNTIF(N$3:N$23, "~**")</f>
        <v>3</v>
      </c>
      <c r="O25" s="54" t="n">
        <f aca="false">COUNTIF(O$3:O$23, "~**")</f>
        <v>8</v>
      </c>
      <c r="P25" s="54"/>
      <c r="Q25" s="54"/>
      <c r="R25" s="54"/>
      <c r="S25" s="54"/>
      <c r="T25" s="54"/>
      <c r="U25" s="55"/>
      <c r="V25" s="2" t="s">
        <v>27</v>
      </c>
      <c r="W25" s="2"/>
      <c r="X25" s="37" t="n">
        <f aca="false">X26*0.6</f>
        <v>12</v>
      </c>
      <c r="Y25" s="55"/>
      <c r="Z25" s="37"/>
      <c r="AA25" s="37"/>
      <c r="AB25" s="37"/>
      <c r="AC25" s="37"/>
      <c r="AD25" s="37" t="n">
        <f aca="false">AD26*0.6</f>
        <v>12</v>
      </c>
      <c r="AE25" s="56"/>
      <c r="AF25" s="37" t="n">
        <v>0</v>
      </c>
      <c r="AG25" s="37" t="n">
        <v>0</v>
      </c>
      <c r="AH25" s="57"/>
      <c r="AJ25" s="2" t="n">
        <v>3</v>
      </c>
      <c r="AL25" s="2" t="n">
        <v>3</v>
      </c>
      <c r="AM25" s="37" t="n">
        <v>6</v>
      </c>
      <c r="AN25" s="58"/>
      <c r="AO25" s="59"/>
      <c r="AP25" s="37" t="n">
        <v>0</v>
      </c>
      <c r="AQ25" s="37" t="n">
        <v>24</v>
      </c>
      <c r="AR25" s="19" t="n">
        <f aca="false">X25+AD25+AF25+AG25+AM25+AQ25</f>
        <v>54</v>
      </c>
      <c r="AS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17</v>
      </c>
      <c r="F26" s="37" t="n">
        <f aca="false">COUNTIF(F$3:F$23, "~**")+COUNTIF(F$3:F$23, "Y")</f>
        <v>16</v>
      </c>
      <c r="G26" s="37" t="n">
        <f aca="false">COUNTIF(G$3:G$23, "~**")+COUNTIF(G$3:G$23, "Y")</f>
        <v>12</v>
      </c>
      <c r="H26" s="37" t="n">
        <f aca="false">COUNTIF(H$3:H$23, "~**")+COUNTIF(H$3:H$23, "Y")</f>
        <v>13</v>
      </c>
      <c r="I26" s="37" t="n">
        <f aca="false">COUNTIF(I$3:I$23, "~**")+COUNTIF(I$3:I$23, "Y")</f>
        <v>13</v>
      </c>
      <c r="J26" s="37" t="n">
        <f aca="false">COUNTIF(J$3:J$23, "~**")+COUNTIF(J$3:J$23, "Y")</f>
        <v>14</v>
      </c>
      <c r="K26" s="37" t="n">
        <f aca="false">COUNTIF(K$3:K$23, "~**")+COUNTIF(K$3:K$23, "Y")</f>
        <v>14</v>
      </c>
      <c r="L26" s="37" t="n">
        <f aca="false">COUNTIF(L$3:L$23, "~**")+COUNTIF(L$3:L$23, "Y")</f>
        <v>13</v>
      </c>
      <c r="M26" s="54" t="n">
        <f aca="false">COUNTIF(M$3:M$23, "~**")+COUNTIF(M$3:M$23, "Y")</f>
        <v>6</v>
      </c>
      <c r="N26" s="54" t="n">
        <f aca="false">COUNTIF(N$3:N$23, "~**")+COUNTIF(N$3:N$23, "Y")</f>
        <v>3</v>
      </c>
      <c r="O26" s="54" t="n">
        <f aca="false">COUNTIF(O$3:O$23, "~**")+COUNTIF(O$3:O$23, "Y")</f>
        <v>8</v>
      </c>
      <c r="P26" s="54"/>
      <c r="Q26" s="54"/>
      <c r="R26" s="54"/>
      <c r="S26" s="54"/>
      <c r="T26" s="54"/>
      <c r="U26" s="55"/>
      <c r="V26" s="2" t="s">
        <v>29</v>
      </c>
      <c r="W26" s="2"/>
      <c r="X26" s="37" t="n">
        <v>20</v>
      </c>
      <c r="Y26" s="55"/>
      <c r="Z26" s="37"/>
      <c r="AA26" s="37"/>
      <c r="AB26" s="37"/>
      <c r="AC26" s="37"/>
      <c r="AD26" s="37" t="n">
        <v>20</v>
      </c>
      <c r="AE26" s="56"/>
      <c r="AF26" s="37" t="n">
        <v>5</v>
      </c>
      <c r="AG26" s="37" t="n">
        <v>5</v>
      </c>
      <c r="AH26" s="57"/>
      <c r="AJ26" s="2" t="n">
        <v>5</v>
      </c>
      <c r="AL26" s="2" t="n">
        <v>5</v>
      </c>
      <c r="AM26" s="37" t="n">
        <v>10</v>
      </c>
      <c r="AN26" s="58"/>
      <c r="AO26" s="59"/>
      <c r="AP26" s="37" t="n">
        <v>3</v>
      </c>
      <c r="AQ26" s="37" t="n">
        <v>40</v>
      </c>
      <c r="AR26" s="19" t="n">
        <f aca="false">SUM(X26,AD26,AF26:AG26,AM26,AP26:AQ26,)</f>
        <v>103</v>
      </c>
      <c r="AS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7"/>
      <c r="V27" s="2"/>
      <c r="W27" s="2"/>
      <c r="X27" s="61"/>
      <c r="Y27" s="62"/>
      <c r="Z27" s="61"/>
      <c r="AA27" s="61"/>
      <c r="AB27" s="61"/>
      <c r="AC27" s="61"/>
      <c r="AD27" s="61"/>
      <c r="AE27" s="63"/>
      <c r="AF27" s="2"/>
      <c r="AG27" s="2"/>
      <c r="AH27" s="57"/>
      <c r="AM27" s="61"/>
      <c r="AN27" s="64"/>
      <c r="AO27" s="65"/>
      <c r="AP27" s="2"/>
      <c r="AQ27" s="2"/>
      <c r="AR27" s="66"/>
      <c r="AS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7"/>
      <c r="V28" s="2" t="s">
        <v>31</v>
      </c>
      <c r="W28" s="2"/>
      <c r="X28" s="61" t="n">
        <f aca="false">IFERROR(COUNTA(X$3:X23)/COUNTA($B$3:$B$23), 0)</f>
        <v>0.9444444444</v>
      </c>
      <c r="Y28" s="62"/>
      <c r="Z28" s="61"/>
      <c r="AA28" s="61"/>
      <c r="AB28" s="61"/>
      <c r="AC28" s="61"/>
      <c r="AD28" s="61" t="n">
        <f aca="false">IFERROR(COUNTA(AD$3:AD23)/COUNTA($B$3:$B$23), 0)</f>
        <v>0.9444444444</v>
      </c>
      <c r="AE28" s="63"/>
      <c r="AF28" s="2"/>
      <c r="AG28" s="2"/>
      <c r="AH28" s="57"/>
      <c r="AJ28" s="61" t="n">
        <f aca="false">IFERROR(COUNTIF(AJ$3:AJ23, "&gt;0")/COUNTA($B$3:$B$22), 0)</f>
        <v>0.9444444444</v>
      </c>
      <c r="AL28" s="61" t="n">
        <f aca="false">IFERROR(COUNTIF(AL$3:AL23, "&gt;0")/COUNTA($B$3:$B$22), 0)</f>
        <v>0.944444444444444</v>
      </c>
      <c r="AM28" s="61" t="n">
        <f aca="false">IFERROR(COUNTIF(AM$3:AM23, "&gt;0")/COUNTA($B$3:$B$22), 0)</f>
        <v>0.944444444444444</v>
      </c>
      <c r="AN28" s="64"/>
      <c r="AO28" s="65"/>
      <c r="AP28" s="2"/>
      <c r="AQ28" s="61" t="n">
        <f aca="false">IFERROR(COUNTIF(AQ$3:AQ23, "&gt;24")/COUNTA($B$3:$B$22), 0)</f>
        <v>0.8333333333</v>
      </c>
      <c r="AR28" s="66"/>
      <c r="AS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47"/>
      <c r="V29" s="2"/>
      <c r="W29" s="2"/>
      <c r="X29" s="2"/>
      <c r="Y29" s="47"/>
      <c r="Z29" s="2"/>
      <c r="AA29" s="2"/>
      <c r="AB29" s="2"/>
      <c r="AC29" s="2"/>
      <c r="AD29" s="2"/>
      <c r="AE29" s="63"/>
      <c r="AF29" s="2"/>
      <c r="AG29" s="2"/>
      <c r="AH29" s="63"/>
      <c r="AI29" s="2"/>
      <c r="AJ29" s="2"/>
      <c r="AK29" s="2"/>
      <c r="AL29" s="2"/>
      <c r="AM29" s="2"/>
      <c r="AN29" s="64"/>
      <c r="AO29" s="65"/>
      <c r="AP29" s="2"/>
      <c r="AQ29" s="2"/>
      <c r="AR29" s="66"/>
      <c r="AS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2"/>
      <c r="Q30" s="2"/>
      <c r="R30" s="2"/>
      <c r="S30" s="2"/>
      <c r="T30" s="2"/>
      <c r="U30" s="47"/>
      <c r="V30" s="2"/>
      <c r="W30" s="2"/>
      <c r="X30" s="2"/>
      <c r="Y30" s="47"/>
      <c r="Z30" s="2"/>
      <c r="AA30" s="2"/>
      <c r="AB30" s="2"/>
      <c r="AC30" s="2"/>
      <c r="AD30" s="2"/>
      <c r="AE30" s="63"/>
      <c r="AF30" s="2"/>
      <c r="AG30" s="2"/>
      <c r="AH30" s="63"/>
      <c r="AI30" s="2"/>
      <c r="AJ30" s="2"/>
      <c r="AK30" s="2"/>
      <c r="AL30" s="2"/>
      <c r="AM30" s="2"/>
      <c r="AN30" s="64"/>
      <c r="AO30" s="65"/>
      <c r="AP30" s="2"/>
      <c r="AQ30" s="2"/>
      <c r="AR30" s="66"/>
      <c r="AS30" s="2"/>
    </row>
    <row r="31" customFormat="false" ht="15.75" hidden="false" customHeight="false" outlineLevel="0" collapsed="false">
      <c r="E31" s="2" t="s">
        <v>35</v>
      </c>
      <c r="U31" s="68"/>
      <c r="Y31" s="68"/>
      <c r="AE31" s="57"/>
      <c r="AH31" s="57"/>
      <c r="AN31" s="69"/>
      <c r="AO31" s="70"/>
      <c r="AR31" s="71"/>
    </row>
    <row r="32" customFormat="false" ht="15.75" hidden="false" customHeight="false" outlineLevel="0" collapsed="false">
      <c r="E32" s="2" t="s">
        <v>36</v>
      </c>
      <c r="U32" s="68"/>
      <c r="Y32" s="68"/>
      <c r="AE32" s="57"/>
      <c r="AH32" s="57"/>
      <c r="AN32" s="69"/>
      <c r="AO32" s="70"/>
      <c r="AR32" s="71"/>
    </row>
    <row r="33" customFormat="false" ht="15.75" hidden="false" customHeight="false" outlineLevel="0" collapsed="false">
      <c r="U33" s="68"/>
      <c r="Y33" s="68"/>
      <c r="AE33" s="57"/>
      <c r="AH33" s="57"/>
      <c r="AN33" s="69"/>
      <c r="AO33" s="70"/>
      <c r="AR33" s="71"/>
    </row>
  </sheetData>
  <mergeCells count="15">
    <mergeCell ref="A1:A2"/>
    <mergeCell ref="E1:L1"/>
    <mergeCell ref="M1:O1"/>
    <mergeCell ref="P1:S1"/>
    <mergeCell ref="V1:X1"/>
    <mergeCell ref="Z1:AD1"/>
    <mergeCell ref="AF1:AF2"/>
    <mergeCell ref="AG1:AG2"/>
    <mergeCell ref="AI1:AJ1"/>
    <mergeCell ref="AK1:AL1"/>
    <mergeCell ref="AM1:AM2"/>
    <mergeCell ref="AO1:AO2"/>
    <mergeCell ref="AP1:AP2"/>
    <mergeCell ref="AQ1:AQ2"/>
    <mergeCell ref="AR1:AS1"/>
  </mergeCells>
  <conditionalFormatting sqref="AN3:AO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S3:AS23">
    <cfRule type="beginsWith" priority="4" operator="beginsWith" aboveAverage="0" equalAverage="0" bottom="0" percent="0" rank="0" text="зачет" dxfId="2">
      <formula>LEFT(AS3,LEN("зачет"))="зачет"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X3:X23 AD3:AG23 AM3:AM23 AP3:AQ23">
    <cfRule type="containsText" priority="6" operator="containsText" aboveAverage="0" equalAverage="0" bottom="0" percent="0" rank="0" text="." dxfId="4">
      <formula>NOT(ISERROR(SEARCH(".",X3)))</formula>
    </cfRule>
  </conditionalFormatting>
  <conditionalFormatting sqref="W3:W23">
    <cfRule type="expression" priority="7" aboveAverage="0" equalAverage="0" bottom="0" percent="0" rank="0" text="" dxfId="5">
      <formula>W3&gt;45596</formula>
    </cfRule>
  </conditionalFormatting>
  <conditionalFormatting sqref="AA3:AC23 AH3:AL23 W6">
    <cfRule type="expression" priority="8" aboveAverage="0" equalAverage="0" bottom="0" percent="0" rank="0" text="" dxfId="5">
      <formula>AA3&gt;45657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9900"/>
    <outlinePr summaryBelow="0"/>
    <pageSetUpPr fitToPage="false"/>
  </sheetPr>
  <dimension ref="A1:AS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20" min="5" style="0" width="3.38"/>
    <col collapsed="false" customWidth="true" hidden="false" outlineLevel="0" max="21" min="21" style="0" width="0.38"/>
    <col collapsed="false" customWidth="true" hidden="false" outlineLevel="0" max="22" min="22" style="0" width="5.75"/>
    <col collapsed="false" customWidth="true" hidden="false" outlineLevel="0" max="23" min="23" style="0" width="4.75"/>
    <col collapsed="false" customWidth="true" hidden="false" outlineLevel="0" max="24" min="24" style="0" width="4.38"/>
    <col collapsed="false" customWidth="true" hidden="false" outlineLevel="0" max="25" min="25" style="0" width="0.38"/>
    <col collapsed="false" customWidth="true" hidden="false" outlineLevel="0" max="26" min="26" style="0" width="5.75"/>
    <col collapsed="false" customWidth="true" hidden="false" outlineLevel="0" max="27" min="27" style="0" width="4.75"/>
    <col collapsed="false" customWidth="true" hidden="false" outlineLevel="0" max="28" min="28" style="0" width="5.13"/>
    <col collapsed="false" customWidth="true" hidden="false" outlineLevel="0" max="29" min="29" style="0" width="4.75"/>
    <col collapsed="false" customWidth="true" hidden="false" outlineLevel="0" max="30" min="30" style="0" width="4.38"/>
    <col collapsed="false" customWidth="true" hidden="false" outlineLevel="0" max="31" min="31" style="0" width="0.38"/>
    <col collapsed="false" customWidth="true" hidden="false" outlineLevel="0" max="32" min="32" style="0" width="4.38"/>
    <col collapsed="false" customWidth="true" hidden="false" outlineLevel="0" max="33" min="33" style="0" width="4.5"/>
    <col collapsed="false" customWidth="true" hidden="false" outlineLevel="0" max="34" min="34" style="0" width="0.38"/>
    <col collapsed="false" customWidth="true" hidden="false" outlineLevel="0" max="38" min="35" style="0" width="5.63"/>
    <col collapsed="false" customWidth="true" hidden="false" outlineLevel="0" max="39" min="39" style="0" width="4.38"/>
    <col collapsed="false" customWidth="true" hidden="false" outlineLevel="0" max="40" min="40" style="0" width="0.38"/>
    <col collapsed="false" customWidth="true" hidden="false" outlineLevel="0" max="41" min="41" style="0" width="7.63"/>
    <col collapsed="false" customWidth="true" hidden="false" outlineLevel="0" max="42" min="42" style="0" width="5.63"/>
    <col collapsed="false" customWidth="true" hidden="false" outlineLevel="0" max="43" min="43" style="0" width="7.12"/>
    <col collapsed="false" customWidth="true" hidden="false" outlineLevel="0" max="44" min="44" style="0" width="6.88"/>
    <col collapsed="false" customWidth="true" hidden="false" outlineLevel="0" max="45" min="45" style="0" width="7.5"/>
  </cols>
  <sheetData>
    <row r="1" customFormat="false" ht="15.75" hidden="false" customHeight="true" outlineLevel="0" collapsed="false">
      <c r="A1" s="1" t="s">
        <v>37</v>
      </c>
      <c r="B1" s="2" t="s">
        <v>570</v>
      </c>
      <c r="D1" s="4" t="n">
        <f aca="false">COLUMNS(A2:AS2)-40</f>
        <v>5</v>
      </c>
      <c r="E1" s="5" t="s">
        <v>2</v>
      </c>
      <c r="F1" s="5"/>
      <c r="G1" s="5"/>
      <c r="H1" s="5"/>
      <c r="I1" s="5"/>
      <c r="J1" s="5"/>
      <c r="K1" s="5"/>
      <c r="L1" s="5"/>
      <c r="M1" s="5" t="s">
        <v>571</v>
      </c>
      <c r="N1" s="5"/>
      <c r="O1" s="5"/>
      <c r="P1" s="5" t="s">
        <v>572</v>
      </c>
      <c r="Q1" s="5"/>
      <c r="R1" s="5"/>
      <c r="S1" s="5"/>
      <c r="T1" s="5"/>
      <c r="U1" s="6"/>
      <c r="V1" s="5" t="s">
        <v>3</v>
      </c>
      <c r="W1" s="5"/>
      <c r="X1" s="5"/>
      <c r="Y1" s="6"/>
      <c r="Z1" s="5" t="s">
        <v>4</v>
      </c>
      <c r="AA1" s="5"/>
      <c r="AB1" s="5"/>
      <c r="AC1" s="5"/>
      <c r="AD1" s="5"/>
      <c r="AE1" s="7"/>
      <c r="AF1" s="8" t="s">
        <v>5</v>
      </c>
      <c r="AG1" s="8" t="s">
        <v>6</v>
      </c>
      <c r="AH1" s="7"/>
      <c r="AI1" s="8" t="s">
        <v>7</v>
      </c>
      <c r="AJ1" s="8"/>
      <c r="AK1" s="8" t="s">
        <v>8</v>
      </c>
      <c r="AL1" s="8"/>
      <c r="AM1" s="1" t="s">
        <v>9</v>
      </c>
      <c r="AN1" s="10"/>
      <c r="AO1" s="11" t="s">
        <v>10</v>
      </c>
      <c r="AP1" s="8" t="s">
        <v>11</v>
      </c>
      <c r="AQ1" s="8" t="s">
        <v>12</v>
      </c>
      <c r="AR1" s="12" t="s">
        <v>13</v>
      </c>
      <c r="AS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45560</v>
      </c>
      <c r="F2" s="15" t="n">
        <f aca="false">E2+14</f>
        <v>45574</v>
      </c>
      <c r="G2" s="15" t="n">
        <f aca="false">F2+14</f>
        <v>45588</v>
      </c>
      <c r="H2" s="15" t="n">
        <f aca="false">G2+14</f>
        <v>45602</v>
      </c>
      <c r="I2" s="15" t="n">
        <f aca="false">H2+14</f>
        <v>45616</v>
      </c>
      <c r="J2" s="15" t="n">
        <v>45623</v>
      </c>
      <c r="K2" s="15" t="n">
        <v>45630</v>
      </c>
      <c r="L2" s="15" t="n">
        <f aca="false">K2+14</f>
        <v>45644</v>
      </c>
      <c r="M2" s="16" t="n">
        <v>45666</v>
      </c>
      <c r="N2" s="17" t="n">
        <v>45671</v>
      </c>
      <c r="O2" s="17" t="n">
        <v>45673</v>
      </c>
      <c r="P2" s="17" t="n">
        <v>45693</v>
      </c>
      <c r="Q2" s="17" t="n">
        <v>45695</v>
      </c>
      <c r="R2" s="17" t="n">
        <v>45698</v>
      </c>
      <c r="S2" s="17" t="n">
        <v>45706</v>
      </c>
      <c r="T2" s="17" t="n">
        <v>45716</v>
      </c>
      <c r="U2" s="18"/>
      <c r="V2" s="19" t="s">
        <v>17</v>
      </c>
      <c r="W2" s="20" t="s">
        <v>18</v>
      </c>
      <c r="X2" s="19" t="s">
        <v>19</v>
      </c>
      <c r="Y2" s="6"/>
      <c r="Z2" s="19" t="s">
        <v>17</v>
      </c>
      <c r="AA2" s="19" t="s">
        <v>20</v>
      </c>
      <c r="AB2" s="19" t="s">
        <v>21</v>
      </c>
      <c r="AC2" s="19" t="s">
        <v>18</v>
      </c>
      <c r="AD2" s="19" t="s">
        <v>19</v>
      </c>
      <c r="AE2" s="7"/>
      <c r="AF2" s="8"/>
      <c r="AG2" s="8"/>
      <c r="AH2" s="21"/>
      <c r="AI2" s="22" t="s">
        <v>22</v>
      </c>
      <c r="AJ2" s="22" t="s">
        <v>23</v>
      </c>
      <c r="AK2" s="22" t="s">
        <v>22</v>
      </c>
      <c r="AL2" s="22" t="s">
        <v>23</v>
      </c>
      <c r="AM2" s="1"/>
      <c r="AN2" s="10"/>
      <c r="AO2" s="11"/>
      <c r="AP2" s="11"/>
      <c r="AQ2" s="11"/>
      <c r="AR2" s="23" t="s">
        <v>24</v>
      </c>
      <c r="AS2" s="24" t="s">
        <v>25</v>
      </c>
    </row>
    <row r="3" customFormat="false" ht="15.75" hidden="false" customHeight="false" outlineLevel="0" collapsed="false">
      <c r="A3" s="25" t="n">
        <v>1</v>
      </c>
      <c r="B3" s="26" t="s">
        <v>118</v>
      </c>
      <c r="C3" s="27" t="s">
        <v>119</v>
      </c>
      <c r="D3" s="27" t="n">
        <v>465228</v>
      </c>
      <c r="E3" s="28" t="s">
        <v>45</v>
      </c>
      <c r="F3" s="28" t="s">
        <v>45</v>
      </c>
      <c r="G3" s="28" t="s">
        <v>518</v>
      </c>
      <c r="H3" s="28" t="s">
        <v>45</v>
      </c>
      <c r="I3" s="28" t="s">
        <v>518</v>
      </c>
      <c r="J3" s="28" t="s">
        <v>45</v>
      </c>
      <c r="K3" s="28" t="s">
        <v>519</v>
      </c>
      <c r="L3" s="28" t="s">
        <v>519</v>
      </c>
      <c r="M3" s="147"/>
      <c r="N3" s="147"/>
      <c r="O3" s="147"/>
      <c r="P3" s="148" t="s">
        <v>519</v>
      </c>
      <c r="Q3" s="148" t="s">
        <v>519</v>
      </c>
      <c r="R3" s="148" t="s">
        <v>519</v>
      </c>
      <c r="S3" s="148" t="s">
        <v>519</v>
      </c>
      <c r="T3" s="148"/>
      <c r="U3" s="30"/>
      <c r="V3" s="31" t="n">
        <v>12100</v>
      </c>
      <c r="W3" s="32" t="n">
        <v>45693</v>
      </c>
      <c r="X3" s="33" t="n">
        <v>12</v>
      </c>
      <c r="Y3" s="34"/>
      <c r="Z3" s="35" t="n">
        <v>21011</v>
      </c>
      <c r="AA3" s="36" t="n">
        <v>45695</v>
      </c>
      <c r="AB3" s="36" t="n">
        <v>45695</v>
      </c>
      <c r="AC3" s="36" t="n">
        <v>45698</v>
      </c>
      <c r="AD3" s="37" t="n">
        <v>12</v>
      </c>
      <c r="AE3" s="38"/>
      <c r="AF3" s="39"/>
      <c r="AG3" s="39"/>
      <c r="AH3" s="40"/>
      <c r="AI3" s="36" t="n">
        <v>45645</v>
      </c>
      <c r="AJ3" s="28" t="n">
        <v>3</v>
      </c>
      <c r="AK3" s="36" t="n">
        <v>45645</v>
      </c>
      <c r="AL3" s="28" t="n">
        <v>3</v>
      </c>
      <c r="AM3" s="37" t="n">
        <f aca="false">SUM(AJ3,AL3)</f>
        <v>6</v>
      </c>
      <c r="AN3" s="42"/>
      <c r="AO3" s="43" t="str">
        <f aca="false">IF(AND(X3&gt;=12,AD3&gt;=12,AM3&gt;=6),"да","нет")</f>
        <v>да</v>
      </c>
      <c r="AP3" s="2"/>
      <c r="AQ3" s="149" t="n">
        <v>31</v>
      </c>
      <c r="AR3" s="23" t="n">
        <f aca="false">SUM(X3,AD3,AF3,AG3,AM3,AQ3,AP3)</f>
        <v>61</v>
      </c>
      <c r="AS3" s="29" t="str">
        <f aca="false">IF(AND(X3&gt;=12,AD3&gt;=12,AM3&gt;=6,AQ3&gt;=24,AR3&gt;=60),"Зачет","Незачет")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174</v>
      </c>
      <c r="C4" s="27" t="s">
        <v>119</v>
      </c>
      <c r="D4" s="27" t="n">
        <v>465729</v>
      </c>
      <c r="E4" s="28" t="s">
        <v>45</v>
      </c>
      <c r="F4" s="28" t="s">
        <v>45</v>
      </c>
      <c r="G4" s="28" t="s">
        <v>45</v>
      </c>
      <c r="H4" s="28" t="s">
        <v>519</v>
      </c>
      <c r="I4" s="28" t="s">
        <v>518</v>
      </c>
      <c r="J4" s="28" t="s">
        <v>519</v>
      </c>
      <c r="K4" s="28" t="s">
        <v>45</v>
      </c>
      <c r="L4" s="28" t="s">
        <v>519</v>
      </c>
      <c r="M4" s="29" t="s">
        <v>519</v>
      </c>
      <c r="N4" s="29"/>
      <c r="O4" s="29" t="s">
        <v>519</v>
      </c>
      <c r="P4" s="29"/>
      <c r="Q4" s="29"/>
      <c r="R4" s="29"/>
      <c r="S4" s="29"/>
      <c r="T4" s="29"/>
      <c r="U4" s="30"/>
      <c r="V4" s="31" t="n">
        <v>12101</v>
      </c>
      <c r="W4" s="32" t="n">
        <v>45623</v>
      </c>
      <c r="X4" s="33" t="n">
        <v>17</v>
      </c>
      <c r="Y4" s="34"/>
      <c r="Z4" s="35" t="n">
        <v>21007</v>
      </c>
      <c r="AA4" s="36" t="n">
        <v>45644</v>
      </c>
      <c r="AB4" s="36" t="n">
        <v>45666</v>
      </c>
      <c r="AC4" s="36" t="n">
        <v>45666</v>
      </c>
      <c r="AD4" s="37" t="n">
        <v>17</v>
      </c>
      <c r="AE4" s="38"/>
      <c r="AF4" s="39"/>
      <c r="AG4" s="39"/>
      <c r="AH4" s="40"/>
      <c r="AI4" s="36" t="n">
        <v>45645</v>
      </c>
      <c r="AJ4" s="28" t="n">
        <v>3.5</v>
      </c>
      <c r="AK4" s="36" t="n">
        <v>45645</v>
      </c>
      <c r="AL4" s="28" t="n">
        <v>3.5</v>
      </c>
      <c r="AM4" s="37" t="n">
        <f aca="false">SUM(AJ4,AL4)</f>
        <v>7</v>
      </c>
      <c r="AN4" s="42"/>
      <c r="AO4" s="43" t="str">
        <f aca="false">IF(AND(X4&gt;=12,AD4&gt;=12,AM4&gt;=6),"да","нет")</f>
        <v>да</v>
      </c>
      <c r="AP4" s="2"/>
      <c r="AQ4" s="2" t="n">
        <v>40</v>
      </c>
      <c r="AR4" s="23" t="n">
        <f aca="false">SUM(X4,AD4,AF4,AG4,AM4,AQ4,AP4)</f>
        <v>81</v>
      </c>
      <c r="AS4" s="29" t="str">
        <f aca="false">IF(AND(X4&gt;=12,AD4&gt;=12,AM4&gt;=6,AQ4&gt;=24,AR4&gt;=60),"Зачет","Незачет")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246</v>
      </c>
      <c r="C5" s="27" t="s">
        <v>119</v>
      </c>
      <c r="D5" s="27" t="n">
        <v>466329</v>
      </c>
      <c r="E5" s="28" t="s">
        <v>45</v>
      </c>
      <c r="F5" s="28" t="s">
        <v>518</v>
      </c>
      <c r="G5" s="28" t="s">
        <v>45</v>
      </c>
      <c r="H5" s="28" t="s">
        <v>518</v>
      </c>
      <c r="I5" s="28" t="s">
        <v>45</v>
      </c>
      <c r="J5" s="28" t="s">
        <v>518</v>
      </c>
      <c r="K5" s="28" t="s">
        <v>518</v>
      </c>
      <c r="L5" s="28" t="s">
        <v>519</v>
      </c>
      <c r="M5" s="147"/>
      <c r="N5" s="147"/>
      <c r="O5" s="147"/>
      <c r="P5" s="148"/>
      <c r="Q5" s="148" t="s">
        <v>519</v>
      </c>
      <c r="R5" s="148" t="s">
        <v>519</v>
      </c>
      <c r="S5" s="148"/>
      <c r="T5" s="148" t="s">
        <v>519</v>
      </c>
      <c r="U5" s="30"/>
      <c r="V5" s="31" t="n">
        <v>12102</v>
      </c>
      <c r="W5" s="32" t="n">
        <v>45695</v>
      </c>
      <c r="X5" s="33" t="n">
        <v>12</v>
      </c>
      <c r="Y5" s="34"/>
      <c r="Z5" s="35" t="n">
        <v>21012</v>
      </c>
      <c r="AA5" s="36" t="n">
        <v>45698</v>
      </c>
      <c r="AB5" s="36" t="n">
        <v>45698</v>
      </c>
      <c r="AC5" s="36" t="n">
        <v>45731</v>
      </c>
      <c r="AD5" s="37" t="n">
        <v>12</v>
      </c>
      <c r="AE5" s="38"/>
      <c r="AF5" s="39"/>
      <c r="AG5" s="39"/>
      <c r="AH5" s="44"/>
      <c r="AI5" s="36" t="n">
        <v>45671</v>
      </c>
      <c r="AJ5" s="28" t="n">
        <v>3</v>
      </c>
      <c r="AK5" s="36" t="n">
        <v>45671</v>
      </c>
      <c r="AL5" s="28" t="n">
        <v>3</v>
      </c>
      <c r="AM5" s="37" t="n">
        <f aca="false">SUM(AJ5,AL5)</f>
        <v>6</v>
      </c>
      <c r="AN5" s="42"/>
      <c r="AO5" s="43" t="str">
        <f aca="false">IF(AND(X5&gt;=12,AD5&gt;=12,AM5&gt;=6),"да","нет")</f>
        <v>да</v>
      </c>
      <c r="AP5" s="2"/>
      <c r="AQ5" s="149" t="n">
        <v>31</v>
      </c>
      <c r="AR5" s="23" t="n">
        <f aca="false">SUM(X5,AD5,AF5,AG5,AM5,AQ5,AP5)</f>
        <v>61</v>
      </c>
      <c r="AS5" s="29" t="str">
        <f aca="false">IF(AND(X5&gt;=12,AD5&gt;=12,AM5&gt;=6,AQ5&gt;=24,AR5&gt;=60),"Зачет","Незачет")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251</v>
      </c>
      <c r="C6" s="27" t="s">
        <v>119</v>
      </c>
      <c r="D6" s="27" t="n">
        <v>452772</v>
      </c>
      <c r="E6" s="28" t="s">
        <v>45</v>
      </c>
      <c r="F6" s="28" t="s">
        <v>45</v>
      </c>
      <c r="G6" s="28" t="s">
        <v>518</v>
      </c>
      <c r="H6" s="28" t="s">
        <v>519</v>
      </c>
      <c r="I6" s="28" t="s">
        <v>518</v>
      </c>
      <c r="J6" s="28" t="s">
        <v>519</v>
      </c>
      <c r="K6" s="28" t="s">
        <v>522</v>
      </c>
      <c r="L6" s="28" t="s">
        <v>519</v>
      </c>
      <c r="M6" s="29" t="s">
        <v>519</v>
      </c>
      <c r="N6" s="29"/>
      <c r="O6" s="29" t="s">
        <v>519</v>
      </c>
      <c r="P6" s="29"/>
      <c r="Q6" s="29"/>
      <c r="R6" s="29"/>
      <c r="S6" s="29"/>
      <c r="T6" s="29"/>
      <c r="U6" s="30"/>
      <c r="V6" s="31" t="n">
        <v>12103</v>
      </c>
      <c r="W6" s="32" t="n">
        <v>45630</v>
      </c>
      <c r="X6" s="33" t="n">
        <v>16</v>
      </c>
      <c r="Y6" s="34"/>
      <c r="Z6" s="35" t="n">
        <v>21009</v>
      </c>
      <c r="AA6" s="41" t="n">
        <v>45644</v>
      </c>
      <c r="AB6" s="36" t="n">
        <v>45666</v>
      </c>
      <c r="AC6" s="36" t="n">
        <v>45666</v>
      </c>
      <c r="AD6" s="37" t="n">
        <v>17</v>
      </c>
      <c r="AE6" s="38"/>
      <c r="AF6" s="39"/>
      <c r="AG6" s="39"/>
      <c r="AH6" s="44"/>
      <c r="AI6" s="36" t="n">
        <v>45671</v>
      </c>
      <c r="AJ6" s="28" t="n">
        <v>3</v>
      </c>
      <c r="AK6" s="36" t="n">
        <v>45671</v>
      </c>
      <c r="AL6" s="28" t="n">
        <v>3</v>
      </c>
      <c r="AM6" s="37" t="n">
        <f aca="false">SUM(AJ6,AL6)</f>
        <v>6</v>
      </c>
      <c r="AN6" s="42"/>
      <c r="AO6" s="43" t="str">
        <f aca="false">IF(AND(X6&gt;=12,AD6&gt;=12,AM6&gt;=6),"да","нет")</f>
        <v>да</v>
      </c>
      <c r="AP6" s="2"/>
      <c r="AQ6" s="2" t="n">
        <v>25</v>
      </c>
      <c r="AR6" s="23" t="n">
        <f aca="false">SUM(X6,AD6,AF6,AG6,AM6,AQ6,AP6)</f>
        <v>64</v>
      </c>
      <c r="AS6" s="29" t="str">
        <f aca="false">IF(AND(X6&gt;=12,AD6&gt;=12,AM6&gt;=6,AQ6&gt;=24,AR6&gt;=60),"Зачет","Незачет")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272</v>
      </c>
      <c r="C7" s="27" t="s">
        <v>119</v>
      </c>
      <c r="D7" s="27" t="n">
        <v>466482</v>
      </c>
      <c r="E7" s="28" t="s">
        <v>45</v>
      </c>
      <c r="F7" s="28" t="s">
        <v>45</v>
      </c>
      <c r="G7" s="28" t="s">
        <v>522</v>
      </c>
      <c r="H7" s="28" t="s">
        <v>522</v>
      </c>
      <c r="I7" s="28" t="s">
        <v>519</v>
      </c>
      <c r="J7" s="28" t="s">
        <v>522</v>
      </c>
      <c r="K7" s="28" t="s">
        <v>522</v>
      </c>
      <c r="L7" s="28" t="s">
        <v>519</v>
      </c>
      <c r="M7" s="29"/>
      <c r="N7" s="29"/>
      <c r="O7" s="29"/>
      <c r="P7" s="29"/>
      <c r="Q7" s="29"/>
      <c r="R7" s="29"/>
      <c r="S7" s="29"/>
      <c r="T7" s="29"/>
      <c r="U7" s="30"/>
      <c r="V7" s="31" t="n">
        <v>12104</v>
      </c>
      <c r="W7" s="32" t="n">
        <v>45616</v>
      </c>
      <c r="X7" s="33" t="n">
        <v>17</v>
      </c>
      <c r="Y7" s="34"/>
      <c r="Z7" s="35" t="n">
        <v>21002</v>
      </c>
      <c r="AA7" s="36" t="n">
        <v>45637</v>
      </c>
      <c r="AB7" s="36" t="n">
        <v>45644</v>
      </c>
      <c r="AC7" s="36" t="n">
        <v>45644</v>
      </c>
      <c r="AD7" s="37" t="n">
        <v>20</v>
      </c>
      <c r="AE7" s="38"/>
      <c r="AF7" s="39"/>
      <c r="AG7" s="39"/>
      <c r="AH7" s="40"/>
      <c r="AI7" s="36" t="n">
        <v>45645</v>
      </c>
      <c r="AJ7" s="28" t="n">
        <v>5</v>
      </c>
      <c r="AK7" s="36" t="n">
        <v>45645</v>
      </c>
      <c r="AL7" s="28" t="n">
        <v>5</v>
      </c>
      <c r="AM7" s="37" t="n">
        <f aca="false">SUM(AJ7,AL7)</f>
        <v>10</v>
      </c>
      <c r="AN7" s="42"/>
      <c r="AO7" s="43" t="str">
        <f aca="false">IF(AND(X7&gt;=12,AD7&gt;=12,AM7&gt;=6),"да","нет")</f>
        <v>да</v>
      </c>
      <c r="AP7" s="2"/>
      <c r="AQ7" s="2" t="n">
        <v>40</v>
      </c>
      <c r="AR7" s="23" t="n">
        <f aca="false">SUM(X7,AD7,AF7,AG7,AM7,AQ7,AP7)</f>
        <v>87</v>
      </c>
      <c r="AS7" s="29" t="str">
        <f aca="false">IF(AND(X7&gt;=12,AD7&gt;=12,AM7&gt;=6,AQ7&gt;=24,AR7&gt;=60),"Зачет","Незачет")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285</v>
      </c>
      <c r="C8" s="27" t="s">
        <v>119</v>
      </c>
      <c r="D8" s="27" t="n">
        <v>472174</v>
      </c>
      <c r="E8" s="28" t="s">
        <v>45</v>
      </c>
      <c r="F8" s="28" t="s">
        <v>45</v>
      </c>
      <c r="G8" s="28" t="s">
        <v>45</v>
      </c>
      <c r="H8" s="28" t="s">
        <v>45</v>
      </c>
      <c r="I8" s="28" t="s">
        <v>519</v>
      </c>
      <c r="J8" s="28" t="s">
        <v>525</v>
      </c>
      <c r="K8" s="28" t="s">
        <v>519</v>
      </c>
      <c r="L8" s="28" t="s">
        <v>519</v>
      </c>
      <c r="M8" s="147"/>
      <c r="N8" s="147" t="s">
        <v>519</v>
      </c>
      <c r="O8" s="147"/>
      <c r="P8" s="148"/>
      <c r="Q8" s="148" t="s">
        <v>519</v>
      </c>
      <c r="R8" s="148"/>
      <c r="S8" s="148" t="s">
        <v>519</v>
      </c>
      <c r="T8" s="148"/>
      <c r="U8" s="30"/>
      <c r="V8" s="31" t="n">
        <v>12105</v>
      </c>
      <c r="W8" s="32" t="n">
        <v>45630</v>
      </c>
      <c r="X8" s="33" t="n">
        <v>16</v>
      </c>
      <c r="Y8" s="34"/>
      <c r="Z8" s="35" t="n">
        <v>21008</v>
      </c>
      <c r="AA8" s="36" t="n">
        <v>45637</v>
      </c>
      <c r="AB8" s="36" t="n">
        <v>45644</v>
      </c>
      <c r="AC8" s="36" t="n">
        <v>45695</v>
      </c>
      <c r="AD8" s="37" t="n">
        <v>13</v>
      </c>
      <c r="AE8" s="38"/>
      <c r="AF8" s="39"/>
      <c r="AG8" s="39"/>
      <c r="AH8" s="40"/>
      <c r="AI8" s="36" t="n">
        <v>45671</v>
      </c>
      <c r="AJ8" s="28" t="n">
        <v>3</v>
      </c>
      <c r="AK8" s="36" t="n">
        <v>45671</v>
      </c>
      <c r="AL8" s="28" t="n">
        <v>3</v>
      </c>
      <c r="AM8" s="37" t="n">
        <f aca="false">SUM(AJ8,AL8)</f>
        <v>6</v>
      </c>
      <c r="AN8" s="42"/>
      <c r="AO8" s="43" t="str">
        <f aca="false">IF(AND(X8&gt;=12,AD8&gt;=12,AM8&gt;=6),"да","нет")</f>
        <v>да</v>
      </c>
      <c r="AP8" s="2"/>
      <c r="AQ8" s="149" t="n">
        <v>30</v>
      </c>
      <c r="AR8" s="23" t="n">
        <f aca="false">SUM(X8,AD8,AF8,AG8,AM8,AQ8,AP8)</f>
        <v>65</v>
      </c>
      <c r="AS8" s="29" t="str">
        <f aca="false">IF(AND(X8&gt;=12,AD8&gt;=12,AM8&gt;=6,AQ8&gt;=24,AR8&gt;=60),"Зачет","Незачет")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289</v>
      </c>
      <c r="C9" s="27" t="s">
        <v>119</v>
      </c>
      <c r="D9" s="27" t="n">
        <v>472183</v>
      </c>
      <c r="E9" s="28" t="s">
        <v>518</v>
      </c>
      <c r="F9" s="28" t="s">
        <v>45</v>
      </c>
      <c r="G9" s="28" t="s">
        <v>518</v>
      </c>
      <c r="H9" s="28" t="s">
        <v>45</v>
      </c>
      <c r="I9" s="28" t="s">
        <v>518</v>
      </c>
      <c r="J9" s="28" t="s">
        <v>518</v>
      </c>
      <c r="K9" s="28" t="s">
        <v>518</v>
      </c>
      <c r="L9" s="28" t="s">
        <v>519</v>
      </c>
      <c r="M9" s="147"/>
      <c r="N9" s="147"/>
      <c r="O9" s="147"/>
      <c r="P9" s="148" t="s">
        <v>519</v>
      </c>
      <c r="Q9" s="148" t="s">
        <v>519</v>
      </c>
      <c r="R9" s="148"/>
      <c r="S9" s="148"/>
      <c r="T9" s="148"/>
      <c r="U9" s="30"/>
      <c r="V9" s="31" t="n">
        <v>12106</v>
      </c>
      <c r="W9" s="32" t="n">
        <v>45695</v>
      </c>
      <c r="X9" s="33" t="n">
        <v>12</v>
      </c>
      <c r="Y9" s="34"/>
      <c r="Z9" s="35" t="n">
        <v>21013</v>
      </c>
      <c r="AA9" s="36"/>
      <c r="AB9" s="36"/>
      <c r="AC9" s="36"/>
      <c r="AD9" s="37"/>
      <c r="AE9" s="38"/>
      <c r="AF9" s="39"/>
      <c r="AG9" s="39"/>
      <c r="AH9" s="44"/>
      <c r="AI9" s="36" t="n">
        <v>45714</v>
      </c>
      <c r="AJ9" s="28" t="n">
        <v>3</v>
      </c>
      <c r="AK9" s="36" t="n">
        <v>45714</v>
      </c>
      <c r="AL9" s="28" t="n">
        <v>3</v>
      </c>
      <c r="AM9" s="37" t="n">
        <f aca="false">SUM(AJ9,AL9)</f>
        <v>6</v>
      </c>
      <c r="AN9" s="42"/>
      <c r="AO9" s="43" t="str">
        <f aca="false">IF(AND(X9&gt;=12,AD9&gt;=12,AM9&gt;=6),"да","нет")</f>
        <v>нет</v>
      </c>
      <c r="AP9" s="2"/>
      <c r="AQ9" s="2"/>
      <c r="AR9" s="23" t="n">
        <f aca="false">SUM(X9,AD9,AF9,AG9,AM9,AQ9,AP9)</f>
        <v>18</v>
      </c>
      <c r="AS9" s="29" t="str">
        <f aca="false">IF(AND(X9&gt;=12,AD9&gt;=12,AM9&gt;=6,AQ9&gt;=24,AR9&gt;=60),"Зачет","Незачет")</f>
        <v>Незачет</v>
      </c>
    </row>
    <row r="10" customFormat="false" ht="15.75" hidden="false" customHeight="false" outlineLevel="0" collapsed="false">
      <c r="A10" s="25" t="n">
        <v>8</v>
      </c>
      <c r="B10" s="26" t="s">
        <v>328</v>
      </c>
      <c r="C10" s="27" t="s">
        <v>119</v>
      </c>
      <c r="D10" s="27" t="n">
        <v>466866</v>
      </c>
      <c r="E10" s="28" t="s">
        <v>45</v>
      </c>
      <c r="F10" s="28" t="s">
        <v>45</v>
      </c>
      <c r="G10" s="28" t="s">
        <v>519</v>
      </c>
      <c r="H10" s="28" t="s">
        <v>519</v>
      </c>
      <c r="I10" s="28" t="s">
        <v>519</v>
      </c>
      <c r="J10" s="28" t="s">
        <v>519</v>
      </c>
      <c r="K10" s="28" t="s">
        <v>45</v>
      </c>
      <c r="L10" s="28" t="s">
        <v>519</v>
      </c>
      <c r="M10" s="29" t="s">
        <v>519</v>
      </c>
      <c r="N10" s="29"/>
      <c r="O10" s="29" t="s">
        <v>519</v>
      </c>
      <c r="P10" s="29"/>
      <c r="Q10" s="29"/>
      <c r="R10" s="29"/>
      <c r="S10" s="29"/>
      <c r="T10" s="29"/>
      <c r="U10" s="30"/>
      <c r="V10" s="31" t="n">
        <v>12107</v>
      </c>
      <c r="W10" s="32" t="n">
        <v>45623</v>
      </c>
      <c r="X10" s="33" t="n">
        <v>18</v>
      </c>
      <c r="Y10" s="34"/>
      <c r="Z10" s="35" t="n">
        <v>21006</v>
      </c>
      <c r="AA10" s="36" t="n">
        <v>45644</v>
      </c>
      <c r="AB10" s="36" t="n">
        <v>45666</v>
      </c>
      <c r="AC10" s="36" t="n">
        <v>45666</v>
      </c>
      <c r="AD10" s="37" t="n">
        <v>15</v>
      </c>
      <c r="AE10" s="38"/>
      <c r="AF10" s="39"/>
      <c r="AG10" s="39"/>
      <c r="AH10" s="40"/>
      <c r="AI10" s="36" t="n">
        <v>45671</v>
      </c>
      <c r="AJ10" s="28" t="n">
        <v>3</v>
      </c>
      <c r="AK10" s="36" t="n">
        <v>45671</v>
      </c>
      <c r="AL10" s="28" t="n">
        <v>3</v>
      </c>
      <c r="AM10" s="37" t="n">
        <f aca="false">SUM(AJ10,AL10)</f>
        <v>6</v>
      </c>
      <c r="AN10" s="42"/>
      <c r="AO10" s="43" t="str">
        <f aca="false">IF(AND(X10&gt;=12,AD10&gt;=12,AM10&gt;=6),"да","нет")</f>
        <v>да</v>
      </c>
      <c r="AP10" s="2"/>
      <c r="AQ10" s="2" t="n">
        <v>25</v>
      </c>
      <c r="AR10" s="23" t="n">
        <f aca="false">SUM(X10,AD10,AF10,AG10,AM10,AQ10,AP10)</f>
        <v>64</v>
      </c>
      <c r="AS10" s="29" t="str">
        <f aca="false">IF(AND(X10&gt;=12,AD10&gt;=12,AM10&gt;=6,AQ10&gt;=24,AR10&gt;=60),"Зачет","Незачет")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360</v>
      </c>
      <c r="C11" s="27" t="s">
        <v>119</v>
      </c>
      <c r="D11" s="27" t="n">
        <v>467144</v>
      </c>
      <c r="E11" s="28" t="s">
        <v>45</v>
      </c>
      <c r="F11" s="28" t="s">
        <v>45</v>
      </c>
      <c r="G11" s="28" t="s">
        <v>45</v>
      </c>
      <c r="H11" s="28" t="s">
        <v>45</v>
      </c>
      <c r="I11" s="28" t="s">
        <v>519</v>
      </c>
      <c r="J11" s="28" t="s">
        <v>519</v>
      </c>
      <c r="K11" s="28" t="s">
        <v>45</v>
      </c>
      <c r="L11" s="28" t="s">
        <v>519</v>
      </c>
      <c r="M11" s="147"/>
      <c r="N11" s="147"/>
      <c r="O11" s="147"/>
      <c r="P11" s="148"/>
      <c r="Q11" s="148"/>
      <c r="R11" s="148" t="s">
        <v>519</v>
      </c>
      <c r="S11" s="148" t="s">
        <v>519</v>
      </c>
      <c r="T11" s="148"/>
      <c r="U11" s="30"/>
      <c r="V11" s="31" t="n">
        <v>12108</v>
      </c>
      <c r="W11" s="32" t="n">
        <v>45623</v>
      </c>
      <c r="X11" s="33" t="n">
        <v>16</v>
      </c>
      <c r="Y11" s="34"/>
      <c r="Z11" s="35" t="n">
        <v>21005</v>
      </c>
      <c r="AA11" s="36" t="n">
        <v>45698</v>
      </c>
      <c r="AB11" s="36" t="n">
        <v>45700</v>
      </c>
      <c r="AC11" s="36" t="n">
        <v>45700</v>
      </c>
      <c r="AD11" s="37" t="n">
        <v>12</v>
      </c>
      <c r="AE11" s="38"/>
      <c r="AF11" s="39"/>
      <c r="AG11" s="39"/>
      <c r="AH11" s="40"/>
      <c r="AI11" s="36" t="n">
        <v>45700</v>
      </c>
      <c r="AJ11" s="28" t="n">
        <v>3</v>
      </c>
      <c r="AK11" s="36" t="n">
        <v>45700</v>
      </c>
      <c r="AL11" s="28" t="n">
        <v>3</v>
      </c>
      <c r="AM11" s="37" t="n">
        <f aca="false">SUM(AJ11,AL11)</f>
        <v>6</v>
      </c>
      <c r="AN11" s="42"/>
      <c r="AO11" s="43" t="str">
        <f aca="false">IF(AND(X11&gt;=12,AD11&gt;=12,AM11&gt;=6),"да","нет")</f>
        <v>да</v>
      </c>
      <c r="AP11" s="2"/>
      <c r="AQ11" s="149" t="n">
        <v>30</v>
      </c>
      <c r="AR11" s="23" t="n">
        <f aca="false">SUM(X11,AD11,AF11,AG11,AM11,AQ11,AP11)</f>
        <v>64</v>
      </c>
      <c r="AS11" s="29" t="str">
        <f aca="false">IF(AND(X11&gt;=12,AD11&gt;=12,AM11&gt;=6,AQ11&gt;=24,AR11&gt;=60),"Зачет","Незачет")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361</v>
      </c>
      <c r="C12" s="27" t="s">
        <v>119</v>
      </c>
      <c r="D12" s="27" t="n">
        <v>472374</v>
      </c>
      <c r="E12" s="28" t="s">
        <v>45</v>
      </c>
      <c r="F12" s="28" t="s">
        <v>45</v>
      </c>
      <c r="G12" s="28" t="s">
        <v>522</v>
      </c>
      <c r="H12" s="28" t="s">
        <v>519</v>
      </c>
      <c r="I12" s="28" t="s">
        <v>519</v>
      </c>
      <c r="J12" s="28" t="s">
        <v>522</v>
      </c>
      <c r="K12" s="28" t="s">
        <v>519</v>
      </c>
      <c r="L12" s="28" t="s">
        <v>519</v>
      </c>
      <c r="M12" s="29"/>
      <c r="N12" s="29"/>
      <c r="O12" s="29"/>
      <c r="P12" s="29"/>
      <c r="Q12" s="29"/>
      <c r="R12" s="29"/>
      <c r="S12" s="29"/>
      <c r="T12" s="29"/>
      <c r="U12" s="30"/>
      <c r="V12" s="31" t="n">
        <v>12109</v>
      </c>
      <c r="W12" s="32" t="n">
        <v>45616</v>
      </c>
      <c r="X12" s="33" t="n">
        <v>17</v>
      </c>
      <c r="Y12" s="34"/>
      <c r="Z12" s="35" t="n">
        <v>21001</v>
      </c>
      <c r="AA12" s="36" t="n">
        <v>45637</v>
      </c>
      <c r="AB12" s="36" t="n">
        <v>45644</v>
      </c>
      <c r="AC12" s="36" t="n">
        <v>45651</v>
      </c>
      <c r="AD12" s="37" t="n">
        <v>17</v>
      </c>
      <c r="AE12" s="38"/>
      <c r="AF12" s="39"/>
      <c r="AG12" s="39"/>
      <c r="AH12" s="40"/>
      <c r="AI12" s="36" t="n">
        <v>45645</v>
      </c>
      <c r="AJ12" s="28" t="n">
        <v>3</v>
      </c>
      <c r="AK12" s="36" t="n">
        <v>45645</v>
      </c>
      <c r="AL12" s="28" t="n">
        <v>3</v>
      </c>
      <c r="AM12" s="37" t="n">
        <f aca="false">SUM(AJ12,AL12)</f>
        <v>6</v>
      </c>
      <c r="AN12" s="42"/>
      <c r="AO12" s="43" t="str">
        <f aca="false">IF(AND(X12&gt;=12,AD12&gt;=12,AM12&gt;=6),"да","нет")</f>
        <v>да</v>
      </c>
      <c r="AP12" s="2"/>
      <c r="AQ12" s="2" t="n">
        <v>40</v>
      </c>
      <c r="AR12" s="23" t="n">
        <f aca="false">SUM(X12,AD12,AF12,AG12,AM12,AQ12,AP12)</f>
        <v>80</v>
      </c>
      <c r="AS12" s="29" t="str">
        <f aca="false">IF(AND(X12&gt;=12,AD12&gt;=12,AM12&gt;=6,AQ12&gt;=24,AR12&gt;=60),"Зачет","Незачет")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379</v>
      </c>
      <c r="C13" s="27" t="s">
        <v>119</v>
      </c>
      <c r="D13" s="27" t="n">
        <v>407893</v>
      </c>
      <c r="E13" s="28" t="s">
        <v>45</v>
      </c>
      <c r="F13" s="28" t="s">
        <v>45</v>
      </c>
      <c r="G13" s="28" t="s">
        <v>522</v>
      </c>
      <c r="H13" s="28" t="s">
        <v>522</v>
      </c>
      <c r="I13" s="28" t="s">
        <v>45</v>
      </c>
      <c r="J13" s="28" t="s">
        <v>525</v>
      </c>
      <c r="K13" s="28" t="s">
        <v>519</v>
      </c>
      <c r="L13" s="28" t="s">
        <v>519</v>
      </c>
      <c r="M13" s="29"/>
      <c r="N13" s="29"/>
      <c r="O13" s="29"/>
      <c r="P13" s="29"/>
      <c r="Q13" s="29"/>
      <c r="R13" s="29"/>
      <c r="S13" s="29"/>
      <c r="T13" s="29"/>
      <c r="U13" s="30"/>
      <c r="V13" s="31" t="n">
        <v>12110</v>
      </c>
      <c r="W13" s="32" t="n">
        <v>45602</v>
      </c>
      <c r="X13" s="33" t="n">
        <v>18</v>
      </c>
      <c r="Y13" s="34"/>
      <c r="Z13" s="35" t="n">
        <v>21000</v>
      </c>
      <c r="AA13" s="36" t="n">
        <v>45630</v>
      </c>
      <c r="AB13" s="36" t="n">
        <v>45644</v>
      </c>
      <c r="AC13" s="36" t="n">
        <v>45644</v>
      </c>
      <c r="AD13" s="37" t="n">
        <v>20</v>
      </c>
      <c r="AE13" s="38"/>
      <c r="AF13" s="39"/>
      <c r="AG13" s="39"/>
      <c r="AH13" s="40"/>
      <c r="AI13" s="36" t="n">
        <v>45645</v>
      </c>
      <c r="AJ13" s="28" t="n">
        <v>4.5</v>
      </c>
      <c r="AK13" s="36" t="n">
        <v>45645</v>
      </c>
      <c r="AL13" s="28" t="n">
        <v>4.5</v>
      </c>
      <c r="AM13" s="37" t="n">
        <f aca="false">SUM(AJ13,AL13)</f>
        <v>9</v>
      </c>
      <c r="AN13" s="42"/>
      <c r="AO13" s="43" t="str">
        <f aca="false">IF(AND(X13&gt;=12,AD13&gt;=12,AM13&gt;=6),"да","нет")</f>
        <v>да</v>
      </c>
      <c r="AP13" s="2"/>
      <c r="AQ13" s="2" t="n">
        <v>40</v>
      </c>
      <c r="AR13" s="23" t="n">
        <f aca="false">SUM(X13,AD13,AF13,AG13,AM13,AQ13,AP13)</f>
        <v>87</v>
      </c>
      <c r="AS13" s="29" t="str">
        <f aca="false">IF(AND(X13&gt;=12,AD13&gt;=12,AM13&gt;=6,AQ13&gt;=24,AR13&gt;=60),"Зачет","Незачет")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398</v>
      </c>
      <c r="C14" s="27" t="s">
        <v>119</v>
      </c>
      <c r="D14" s="27" t="n">
        <v>467381</v>
      </c>
      <c r="E14" s="28" t="s">
        <v>45</v>
      </c>
      <c r="F14" s="28" t="s">
        <v>45</v>
      </c>
      <c r="G14" s="28" t="s">
        <v>519</v>
      </c>
      <c r="H14" s="28" t="s">
        <v>518</v>
      </c>
      <c r="I14" s="28" t="s">
        <v>519</v>
      </c>
      <c r="J14" s="28" t="s">
        <v>519</v>
      </c>
      <c r="K14" s="28" t="s">
        <v>525</v>
      </c>
      <c r="L14" s="28" t="s">
        <v>519</v>
      </c>
      <c r="M14" s="29" t="s">
        <v>519</v>
      </c>
      <c r="N14" s="29"/>
      <c r="O14" s="29" t="s">
        <v>518</v>
      </c>
      <c r="P14" s="148"/>
      <c r="Q14" s="148"/>
      <c r="R14" s="148"/>
      <c r="S14" s="148" t="s">
        <v>519</v>
      </c>
      <c r="T14" s="148" t="s">
        <v>519</v>
      </c>
      <c r="U14" s="30"/>
      <c r="V14" s="31" t="n">
        <v>12111</v>
      </c>
      <c r="W14" s="32" t="n">
        <v>45630</v>
      </c>
      <c r="X14" s="33" t="n">
        <v>14</v>
      </c>
      <c r="Y14" s="34"/>
      <c r="Z14" s="35" t="n">
        <v>21010</v>
      </c>
      <c r="AA14" s="36" t="n">
        <v>45644</v>
      </c>
      <c r="AB14" s="36" t="n">
        <v>45666</v>
      </c>
      <c r="AC14" s="36" t="n">
        <v>45666</v>
      </c>
      <c r="AD14" s="37" t="n">
        <v>18</v>
      </c>
      <c r="AE14" s="38"/>
      <c r="AF14" s="39"/>
      <c r="AG14" s="39"/>
      <c r="AH14" s="40"/>
      <c r="AI14" s="36" t="n">
        <v>45700</v>
      </c>
      <c r="AJ14" s="28" t="n">
        <v>3</v>
      </c>
      <c r="AK14" s="36" t="n">
        <v>45700</v>
      </c>
      <c r="AL14" s="28" t="n">
        <v>3</v>
      </c>
      <c r="AM14" s="37" t="n">
        <f aca="false">SUM(AJ14,AL14)</f>
        <v>6</v>
      </c>
      <c r="AN14" s="42"/>
      <c r="AO14" s="43" t="str">
        <f aca="false">IF(AND(X14&gt;=12,AD14&gt;=12,AM14&gt;=6),"да","нет")</f>
        <v>да</v>
      </c>
      <c r="AP14" s="2"/>
      <c r="AQ14" s="149" t="n">
        <v>24</v>
      </c>
      <c r="AR14" s="23" t="n">
        <f aca="false">SUM(X14,AD14,AF14,AG14,AM14,AQ14,AP14)</f>
        <v>62</v>
      </c>
      <c r="AS14" s="29" t="str">
        <f aca="false">IF(AND(X14&gt;=12,AD14&gt;=12,AM14&gt;=6,AQ14&gt;=24,AR14&gt;=60),"Зачет","Незачет")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438</v>
      </c>
      <c r="C15" s="27" t="s">
        <v>119</v>
      </c>
      <c r="D15" s="27" t="n">
        <v>467639</v>
      </c>
      <c r="E15" s="28" t="s">
        <v>518</v>
      </c>
      <c r="F15" s="28" t="s">
        <v>518</v>
      </c>
      <c r="G15" s="28" t="s">
        <v>518</v>
      </c>
      <c r="H15" s="28" t="s">
        <v>518</v>
      </c>
      <c r="I15" s="28" t="s">
        <v>518</v>
      </c>
      <c r="J15" s="28" t="s">
        <v>518</v>
      </c>
      <c r="K15" s="28" t="s">
        <v>518</v>
      </c>
      <c r="L15" s="28" t="s">
        <v>518</v>
      </c>
      <c r="M15" s="147"/>
      <c r="N15" s="147"/>
      <c r="O15" s="147"/>
      <c r="P15" s="148"/>
      <c r="Q15" s="148"/>
      <c r="R15" s="148"/>
      <c r="S15" s="148" t="s">
        <v>519</v>
      </c>
      <c r="T15" s="148" t="s">
        <v>519</v>
      </c>
      <c r="U15" s="30"/>
      <c r="V15" s="31" t="n">
        <v>12112</v>
      </c>
      <c r="W15" s="32" t="n">
        <v>45706</v>
      </c>
      <c r="X15" s="33" t="n">
        <v>12</v>
      </c>
      <c r="Y15" s="34"/>
      <c r="Z15" s="35" t="n">
        <v>21013</v>
      </c>
      <c r="AA15" s="36" t="n">
        <v>45716</v>
      </c>
      <c r="AB15" s="36" t="n">
        <v>45716</v>
      </c>
      <c r="AC15" s="36" t="n">
        <v>45716</v>
      </c>
      <c r="AD15" s="37" t="n">
        <v>12</v>
      </c>
      <c r="AE15" s="38"/>
      <c r="AF15" s="39"/>
      <c r="AG15" s="39"/>
      <c r="AH15" s="40"/>
      <c r="AI15" s="36" t="n">
        <v>45714</v>
      </c>
      <c r="AJ15" s="28" t="n">
        <v>3</v>
      </c>
      <c r="AK15" s="36" t="n">
        <v>45714</v>
      </c>
      <c r="AL15" s="28" t="n">
        <v>3</v>
      </c>
      <c r="AM15" s="37" t="n">
        <f aca="false">SUM(AJ15,AL15)</f>
        <v>6</v>
      </c>
      <c r="AN15" s="42"/>
      <c r="AO15" s="43" t="str">
        <f aca="false">IF(AND(X15&gt;=12,AD15&gt;=12,AM15&gt;=6),"да","нет")</f>
        <v>да</v>
      </c>
      <c r="AP15" s="2"/>
      <c r="AQ15" s="156" t="n">
        <v>31</v>
      </c>
      <c r="AR15" s="23" t="n">
        <f aca="false">SUM(X15,AD15,AF15,AG15,AM15,AQ15,AP15)</f>
        <v>61</v>
      </c>
      <c r="AS15" s="29" t="str">
        <f aca="false">IF(AND(X15&gt;=12,AD15&gt;=12,AM15&gt;=6,AQ15&gt;=24,AR15&gt;=60),"Зачет","Незачет")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140" t="s">
        <v>443</v>
      </c>
      <c r="C16" s="27" t="s">
        <v>119</v>
      </c>
      <c r="D16" s="27" t="n">
        <v>374849</v>
      </c>
      <c r="E16" s="28" t="s">
        <v>518</v>
      </c>
      <c r="F16" s="28" t="s">
        <v>518</v>
      </c>
      <c r="G16" s="28" t="s">
        <v>518</v>
      </c>
      <c r="H16" s="28" t="s">
        <v>518</v>
      </c>
      <c r="I16" s="28" t="s">
        <v>518</v>
      </c>
      <c r="J16" s="28" t="s">
        <v>518</v>
      </c>
      <c r="K16" s="28" t="s">
        <v>518</v>
      </c>
      <c r="L16" s="28" t="s">
        <v>518</v>
      </c>
      <c r="M16" s="147"/>
      <c r="N16" s="147"/>
      <c r="O16" s="147"/>
      <c r="P16" s="147"/>
      <c r="Q16" s="147"/>
      <c r="R16" s="147"/>
      <c r="S16" s="147"/>
      <c r="T16" s="147"/>
      <c r="U16" s="30"/>
      <c r="V16" s="31" t="n">
        <v>12113</v>
      </c>
      <c r="W16" s="150"/>
      <c r="X16" s="151"/>
      <c r="Y16" s="34"/>
      <c r="Z16" s="152"/>
      <c r="AA16" s="153"/>
      <c r="AB16" s="153"/>
      <c r="AC16" s="153"/>
      <c r="AD16" s="154"/>
      <c r="AE16" s="38"/>
      <c r="AF16" s="155"/>
      <c r="AG16" s="155"/>
      <c r="AH16" s="40"/>
      <c r="AI16" s="157"/>
      <c r="AJ16" s="157"/>
      <c r="AK16" s="157"/>
      <c r="AL16" s="157"/>
      <c r="AM16" s="154" t="n">
        <f aca="false">SUM(AJ16,AL16)</f>
        <v>0</v>
      </c>
      <c r="AN16" s="42"/>
      <c r="AO16" s="43" t="str">
        <f aca="false">IF(AND(X16&gt;=12,AD16&gt;=12,AM16&gt;=6),"да","нет")</f>
        <v>нет</v>
      </c>
      <c r="AP16" s="2"/>
      <c r="AQ16" s="2"/>
      <c r="AR16" s="23" t="n">
        <f aca="false">SUM(X16,AD16,AF16,AG16,AM16,AQ16,AP16)</f>
        <v>0</v>
      </c>
      <c r="AS16" s="29" t="str">
        <f aca="false">IF(AND(X16&gt;=12,AD16&gt;=12,AM16&gt;=6,AQ16&gt;=24,AR16&gt;=60),"Зачет","Незачет")</f>
        <v>Незачет</v>
      </c>
    </row>
    <row r="17" customFormat="false" ht="15.75" hidden="false" customHeight="false" outlineLevel="0" collapsed="false">
      <c r="A17" s="25" t="n">
        <v>15</v>
      </c>
      <c r="B17" s="26" t="s">
        <v>458</v>
      </c>
      <c r="C17" s="27" t="s">
        <v>119</v>
      </c>
      <c r="D17" s="27" t="n">
        <v>377312</v>
      </c>
      <c r="E17" s="28" t="s">
        <v>45</v>
      </c>
      <c r="F17" s="28" t="s">
        <v>518</v>
      </c>
      <c r="G17" s="28" t="s">
        <v>518</v>
      </c>
      <c r="H17" s="28" t="s">
        <v>518</v>
      </c>
      <c r="I17" s="28" t="s">
        <v>518</v>
      </c>
      <c r="J17" s="28" t="s">
        <v>518</v>
      </c>
      <c r="K17" s="28" t="s">
        <v>518</v>
      </c>
      <c r="L17" s="28" t="s">
        <v>518</v>
      </c>
      <c r="M17" s="147"/>
      <c r="N17" s="147"/>
      <c r="O17" s="147"/>
      <c r="P17" s="147"/>
      <c r="Q17" s="147"/>
      <c r="R17" s="147"/>
      <c r="S17" s="147"/>
      <c r="T17" s="147"/>
      <c r="U17" s="30"/>
      <c r="V17" s="31" t="n">
        <v>12114</v>
      </c>
      <c r="W17" s="150"/>
      <c r="X17" s="151"/>
      <c r="Y17" s="34"/>
      <c r="Z17" s="152"/>
      <c r="AA17" s="153"/>
      <c r="AB17" s="153"/>
      <c r="AC17" s="153"/>
      <c r="AD17" s="154"/>
      <c r="AE17" s="38"/>
      <c r="AF17" s="155"/>
      <c r="AG17" s="155"/>
      <c r="AH17" s="44"/>
      <c r="AI17" s="153"/>
      <c r="AJ17" s="153"/>
      <c r="AK17" s="153"/>
      <c r="AL17" s="153"/>
      <c r="AM17" s="154" t="n">
        <f aca="false">SUM(AJ17,AL17)</f>
        <v>0</v>
      </c>
      <c r="AN17" s="42"/>
      <c r="AO17" s="43" t="str">
        <f aca="false">IF(AND(X17&gt;=12,AD17&gt;=12,AM17&gt;=6),"да","нет")</f>
        <v>нет</v>
      </c>
      <c r="AP17" s="2"/>
      <c r="AQ17" s="2"/>
      <c r="AR17" s="23" t="n">
        <f aca="false">SUM(X17,AD17,AF17,AG17,AM17,AQ17,AP17)</f>
        <v>0</v>
      </c>
      <c r="AS17" s="29" t="str">
        <f aca="false">IF(AND(X17&gt;=12,AD17&gt;=12,AM17&gt;=6,AQ17&gt;=24,AR17&gt;=60),"Зачет","Незачет")</f>
        <v>Незачет</v>
      </c>
    </row>
    <row r="18" customFormat="false" ht="15.75" hidden="false" customHeight="false" outlineLevel="0" collapsed="false">
      <c r="A18" s="25" t="n">
        <v>16</v>
      </c>
      <c r="B18" s="26" t="s">
        <v>463</v>
      </c>
      <c r="C18" s="27" t="s">
        <v>119</v>
      </c>
      <c r="D18" s="27" t="n">
        <v>463227</v>
      </c>
      <c r="E18" s="28" t="s">
        <v>45</v>
      </c>
      <c r="F18" s="28" t="s">
        <v>45</v>
      </c>
      <c r="G18" s="28" t="s">
        <v>519</v>
      </c>
      <c r="H18" s="28" t="s">
        <v>519</v>
      </c>
      <c r="I18" s="28" t="s">
        <v>519</v>
      </c>
      <c r="J18" s="28" t="s">
        <v>519</v>
      </c>
      <c r="K18" s="28" t="s">
        <v>45</v>
      </c>
      <c r="L18" s="28" t="s">
        <v>519</v>
      </c>
      <c r="M18" s="29"/>
      <c r="N18" s="29"/>
      <c r="O18" s="29"/>
      <c r="P18" s="29"/>
      <c r="Q18" s="29"/>
      <c r="R18" s="29"/>
      <c r="S18" s="29"/>
      <c r="T18" s="29"/>
      <c r="U18" s="30"/>
      <c r="V18" s="31" t="n">
        <v>12115</v>
      </c>
      <c r="W18" s="32" t="n">
        <v>45616</v>
      </c>
      <c r="X18" s="33" t="n">
        <v>17</v>
      </c>
      <c r="Y18" s="34"/>
      <c r="Z18" s="35" t="n">
        <v>21004</v>
      </c>
      <c r="AA18" s="36" t="n">
        <v>45637</v>
      </c>
      <c r="AB18" s="36" t="n">
        <v>45644</v>
      </c>
      <c r="AC18" s="36" t="n">
        <v>45644</v>
      </c>
      <c r="AD18" s="37" t="n">
        <v>19</v>
      </c>
      <c r="AE18" s="38"/>
      <c r="AF18" s="39"/>
      <c r="AG18" s="39"/>
      <c r="AH18" s="40"/>
      <c r="AI18" s="36" t="n">
        <v>45645</v>
      </c>
      <c r="AJ18" s="28" t="n">
        <v>5</v>
      </c>
      <c r="AK18" s="36" t="n">
        <v>45645</v>
      </c>
      <c r="AL18" s="28" t="n">
        <v>5</v>
      </c>
      <c r="AM18" s="37" t="n">
        <f aca="false">SUM(AJ18,AL18)</f>
        <v>10</v>
      </c>
      <c r="AN18" s="42"/>
      <c r="AO18" s="43" t="str">
        <f aca="false">IF(AND(X18&gt;=12,AD18&gt;=12,AM18&gt;=6),"да","нет")</f>
        <v>да</v>
      </c>
      <c r="AP18" s="2"/>
      <c r="AQ18" s="2" t="n">
        <v>40</v>
      </c>
      <c r="AR18" s="23" t="n">
        <f aca="false">SUM(X18,AD18,AF18,AG18,AM18,AQ18,AP18)</f>
        <v>86</v>
      </c>
      <c r="AS18" s="29" t="str">
        <f aca="false">IF(AND(X18&gt;=12,AD18&gt;=12,AM18&gt;=6,AQ18&gt;=24,AR18&gt;=60),"Зачет","Незачет")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466</v>
      </c>
      <c r="C19" s="27" t="s">
        <v>119</v>
      </c>
      <c r="D19" s="27" t="n">
        <v>467870</v>
      </c>
      <c r="E19" s="28" t="s">
        <v>45</v>
      </c>
      <c r="F19" s="28" t="s">
        <v>518</v>
      </c>
      <c r="G19" s="28" t="s">
        <v>519</v>
      </c>
      <c r="H19" s="28" t="s">
        <v>519</v>
      </c>
      <c r="I19" s="28" t="s">
        <v>519</v>
      </c>
      <c r="J19" s="28" t="s">
        <v>518</v>
      </c>
      <c r="K19" s="28" t="s">
        <v>45</v>
      </c>
      <c r="L19" s="28" t="s">
        <v>45</v>
      </c>
      <c r="M19" s="29" t="s">
        <v>519</v>
      </c>
      <c r="N19" s="29"/>
      <c r="O19" s="29" t="s">
        <v>519</v>
      </c>
      <c r="P19" s="29"/>
      <c r="Q19" s="29"/>
      <c r="R19" s="29"/>
      <c r="S19" s="29"/>
      <c r="T19" s="29"/>
      <c r="U19" s="30"/>
      <c r="V19" s="31" t="n">
        <v>12116</v>
      </c>
      <c r="W19" s="32" t="n">
        <v>45616</v>
      </c>
      <c r="X19" s="33" t="n">
        <v>16</v>
      </c>
      <c r="Y19" s="34"/>
      <c r="Z19" s="35" t="n">
        <v>21003</v>
      </c>
      <c r="AA19" s="36" t="n">
        <v>45644</v>
      </c>
      <c r="AB19" s="158" t="n">
        <v>45666</v>
      </c>
      <c r="AC19" s="158" t="n">
        <v>45666</v>
      </c>
      <c r="AD19" s="37" t="n">
        <v>18</v>
      </c>
      <c r="AE19" s="38"/>
      <c r="AF19" s="39"/>
      <c r="AG19" s="39"/>
      <c r="AH19" s="40"/>
      <c r="AI19" s="36" t="n">
        <v>45671</v>
      </c>
      <c r="AJ19" s="28" t="n">
        <v>3</v>
      </c>
      <c r="AK19" s="36" t="n">
        <v>45671</v>
      </c>
      <c r="AL19" s="28" t="n">
        <v>3</v>
      </c>
      <c r="AM19" s="37" t="n">
        <f aca="false">SUM(AJ19,AL19)</f>
        <v>6</v>
      </c>
      <c r="AN19" s="42"/>
      <c r="AO19" s="43" t="str">
        <f aca="false">IF(AND(X19&gt;=12,AD19&gt;=12,AM19&gt;=6),"да","нет")</f>
        <v>да</v>
      </c>
      <c r="AP19" s="2"/>
      <c r="AQ19" s="2" t="n">
        <v>36</v>
      </c>
      <c r="AR19" s="23" t="n">
        <f aca="false">SUM(X19,AD19,AF19,AG19,AM19,AQ19,AP19)</f>
        <v>76</v>
      </c>
      <c r="AS19" s="29" t="str">
        <f aca="false">IF(AND(X19&gt;=12,AD19&gt;=12,AM19&gt;=6,AQ19&gt;=24,AR19&gt;=60),"Зачет","Незачет")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9"/>
      <c r="N20" s="29"/>
      <c r="O20" s="29"/>
      <c r="P20" s="29"/>
      <c r="Q20" s="29"/>
      <c r="R20" s="29"/>
      <c r="S20" s="29"/>
      <c r="T20" s="29"/>
      <c r="U20" s="30"/>
      <c r="V20" s="46"/>
      <c r="W20" s="36"/>
      <c r="X20" s="37"/>
      <c r="Y20" s="47"/>
      <c r="Z20" s="2"/>
      <c r="AA20" s="36"/>
      <c r="AB20" s="36"/>
      <c r="AC20" s="36"/>
      <c r="AD20" s="37"/>
      <c r="AE20" s="38"/>
      <c r="AF20" s="39"/>
      <c r="AG20" s="39"/>
      <c r="AH20" s="48"/>
      <c r="AI20" s="28"/>
      <c r="AJ20" s="28"/>
      <c r="AK20" s="28"/>
      <c r="AL20" s="28"/>
      <c r="AM20" s="37" t="n">
        <f aca="false">SUM(AJ20,AL20)</f>
        <v>0</v>
      </c>
      <c r="AN20" s="42"/>
      <c r="AO20" s="43" t="str">
        <f aca="false">IF(AND(X20&gt;=12,AD20&gt;=12,AM20&gt;=6),"да","нет")</f>
        <v>нет</v>
      </c>
      <c r="AP20" s="2"/>
      <c r="AQ20" s="2"/>
      <c r="AR20" s="23" t="n">
        <f aca="false">SUM(X20,AD20,AF20,AG20,AM20,AQ20,AP20)</f>
        <v>0</v>
      </c>
      <c r="AS20" s="29" t="str">
        <f aca="false">IF(AND(X20&gt;=12,AD20&gt;=12,AM20&gt;=6,AQ20&gt;=24,AR20&gt;=60),"Зачет","Незачет")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29"/>
      <c r="Q21" s="29"/>
      <c r="R21" s="29"/>
      <c r="S21" s="29"/>
      <c r="T21" s="29"/>
      <c r="U21" s="30"/>
      <c r="V21" s="50"/>
      <c r="W21" s="36"/>
      <c r="X21" s="37"/>
      <c r="Y21" s="47"/>
      <c r="Z21" s="2"/>
      <c r="AA21" s="36"/>
      <c r="AB21" s="36"/>
      <c r="AC21" s="36"/>
      <c r="AD21" s="37"/>
      <c r="AE21" s="38"/>
      <c r="AF21" s="39"/>
      <c r="AG21" s="39"/>
      <c r="AH21" s="48"/>
      <c r="AI21" s="28"/>
      <c r="AJ21" s="28"/>
      <c r="AK21" s="28"/>
      <c r="AL21" s="28"/>
      <c r="AM21" s="37" t="n">
        <f aca="false">SUM(AJ21,AL21)</f>
        <v>0</v>
      </c>
      <c r="AN21" s="42"/>
      <c r="AO21" s="43" t="str">
        <f aca="false">IF(AND(X21&gt;=12,AD21&gt;=12,AM21&gt;=6),"да","нет")</f>
        <v>нет</v>
      </c>
      <c r="AP21" s="2"/>
      <c r="AQ21" s="2"/>
      <c r="AR21" s="23" t="n">
        <f aca="false">SUM(X21,AD21,AF21,AG21,AM21,AQ21,AP21)</f>
        <v>0</v>
      </c>
      <c r="AS21" s="29" t="str">
        <f aca="false">IF(AND(X21&gt;=12,AD21&gt;=12,AM21&gt;=6,AQ21&gt;=24,AR21&gt;=60),"Зачет","Незачет")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29"/>
      <c r="Q22" s="29"/>
      <c r="R22" s="29"/>
      <c r="S22" s="29"/>
      <c r="T22" s="29"/>
      <c r="U22" s="30"/>
      <c r="V22" s="50"/>
      <c r="W22" s="36"/>
      <c r="X22" s="37"/>
      <c r="Y22" s="47"/>
      <c r="Z22" s="2"/>
      <c r="AA22" s="36"/>
      <c r="AB22" s="36"/>
      <c r="AC22" s="36"/>
      <c r="AD22" s="37"/>
      <c r="AE22" s="38"/>
      <c r="AF22" s="39"/>
      <c r="AG22" s="39"/>
      <c r="AH22" s="48"/>
      <c r="AI22" s="28"/>
      <c r="AJ22" s="28"/>
      <c r="AK22" s="28"/>
      <c r="AL22" s="28"/>
      <c r="AM22" s="37" t="n">
        <f aca="false">SUM(AJ22,AL22)</f>
        <v>0</v>
      </c>
      <c r="AN22" s="42"/>
      <c r="AO22" s="43" t="str">
        <f aca="false">IF(AND(X22&gt;=12,AD22&gt;=12,AM22&gt;=6),"да","нет")</f>
        <v>нет</v>
      </c>
      <c r="AP22" s="2"/>
      <c r="AQ22" s="2"/>
      <c r="AR22" s="23" t="n">
        <f aca="false">SUM(X22,AD22,AF22,AG22,AM22,AQ22,AP22)</f>
        <v>0</v>
      </c>
      <c r="AS22" s="29" t="str">
        <f aca="false">IF(AND(X22&gt;=12,AD22&gt;=12,AM22&gt;=6,AQ22&gt;=24,AR22&gt;=60),"Зачет","Незачет")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29"/>
      <c r="Q23" s="29"/>
      <c r="R23" s="29"/>
      <c r="S23" s="29"/>
      <c r="T23" s="29"/>
      <c r="U23" s="30"/>
      <c r="V23" s="50"/>
      <c r="W23" s="36"/>
      <c r="X23" s="37"/>
      <c r="Y23" s="47"/>
      <c r="Z23" s="2"/>
      <c r="AA23" s="36"/>
      <c r="AB23" s="36"/>
      <c r="AC23" s="36"/>
      <c r="AD23" s="37"/>
      <c r="AE23" s="38"/>
      <c r="AF23" s="39"/>
      <c r="AG23" s="39"/>
      <c r="AH23" s="48"/>
      <c r="AI23" s="28"/>
      <c r="AJ23" s="28"/>
      <c r="AK23" s="28"/>
      <c r="AL23" s="28"/>
      <c r="AM23" s="28"/>
      <c r="AN23" s="42"/>
      <c r="AO23" s="43"/>
      <c r="AP23" s="2"/>
      <c r="AQ23" s="2"/>
      <c r="AR23" s="23"/>
      <c r="AS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53"/>
      <c r="AO24" s="47"/>
      <c r="AP24" s="47"/>
      <c r="AQ24" s="47"/>
      <c r="AR24" s="47"/>
      <c r="AS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0</v>
      </c>
      <c r="G25" s="37" t="n">
        <f aca="false">COUNTIF(G$3:G$23, "~**")</f>
        <v>7</v>
      </c>
      <c r="H25" s="37" t="n">
        <f aca="false">COUNTIF(H$3:H$23, "~**")</f>
        <v>8</v>
      </c>
      <c r="I25" s="37" t="n">
        <f aca="false">COUNTIF(I$3:I$23, "~**")</f>
        <v>8</v>
      </c>
      <c r="J25" s="37" t="n">
        <f aca="false">COUNTIF(J$3:J$23, "~**")</f>
        <v>10</v>
      </c>
      <c r="K25" s="37" t="n">
        <f aca="false">COUNTIF(K$3:K$23, "~**")</f>
        <v>7</v>
      </c>
      <c r="L25" s="37" t="n">
        <f aca="false">COUNTIF(L$3:L$23, "~**")</f>
        <v>13</v>
      </c>
      <c r="M25" s="54" t="n">
        <f aca="false">COUNTIF(M$3:M$23, "~**")</f>
        <v>5</v>
      </c>
      <c r="N25" s="54" t="n">
        <f aca="false">COUNTIF(N$3:N$23, "~**")</f>
        <v>1</v>
      </c>
      <c r="O25" s="54" t="n">
        <f aca="false">COUNTIF(O$3:O$23, "~**")</f>
        <v>4</v>
      </c>
      <c r="P25" s="54"/>
      <c r="Q25" s="54"/>
      <c r="R25" s="54"/>
      <c r="S25" s="54"/>
      <c r="T25" s="54"/>
      <c r="U25" s="55"/>
      <c r="V25" s="2" t="s">
        <v>27</v>
      </c>
      <c r="W25" s="2"/>
      <c r="X25" s="37" t="n">
        <f aca="false">X26*0.6</f>
        <v>12</v>
      </c>
      <c r="Y25" s="55"/>
      <c r="Z25" s="37"/>
      <c r="AA25" s="37"/>
      <c r="AB25" s="37"/>
      <c r="AC25" s="37"/>
      <c r="AD25" s="37" t="n">
        <f aca="false">AD26*0.6</f>
        <v>12</v>
      </c>
      <c r="AE25" s="56"/>
      <c r="AF25" s="37" t="n">
        <v>0</v>
      </c>
      <c r="AG25" s="37" t="n">
        <v>0</v>
      </c>
      <c r="AH25" s="57"/>
      <c r="AJ25" s="2" t="n">
        <v>3</v>
      </c>
      <c r="AL25" s="2" t="n">
        <v>3</v>
      </c>
      <c r="AM25" s="37" t="n">
        <v>6</v>
      </c>
      <c r="AN25" s="58"/>
      <c r="AO25" s="59"/>
      <c r="AP25" s="37" t="n">
        <v>0</v>
      </c>
      <c r="AQ25" s="37" t="n">
        <v>24</v>
      </c>
      <c r="AR25" s="19" t="n">
        <f aca="false">X25+AD25+AF25+AG25+AM25+AQ25</f>
        <v>54</v>
      </c>
      <c r="AS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14</v>
      </c>
      <c r="F26" s="37" t="n">
        <f aca="false">COUNTIF(F$3:F$23, "~**")+COUNTIF(F$3:F$23, "Y")</f>
        <v>12</v>
      </c>
      <c r="G26" s="37" t="n">
        <f aca="false">COUNTIF(G$3:G$23, "~**")+COUNTIF(G$3:G$23, "Y")</f>
        <v>11</v>
      </c>
      <c r="H26" s="37" t="n">
        <f aca="false">COUNTIF(H$3:H$23, "~**")+COUNTIF(H$3:H$23, "Y")</f>
        <v>12</v>
      </c>
      <c r="I26" s="37" t="n">
        <f aca="false">COUNTIF(I$3:I$23, "~**")+COUNTIF(I$3:I$23, "Y")</f>
        <v>10</v>
      </c>
      <c r="J26" s="37" t="n">
        <f aca="false">COUNTIF(J$3:J$23, "~**")+COUNTIF(J$3:J$23, "Y")</f>
        <v>11</v>
      </c>
      <c r="K26" s="37" t="n">
        <f aca="false">COUNTIF(K$3:K$23, "~**")+COUNTIF(K$3:K$23, "Y")</f>
        <v>12</v>
      </c>
      <c r="L26" s="37" t="n">
        <f aca="false">COUNTIF(L$3:L$23, "~**")+COUNTIF(L$3:L$23, "Y")</f>
        <v>14</v>
      </c>
      <c r="M26" s="54" t="n">
        <f aca="false">COUNTIF(M$3:M$23, "~**")+COUNTIF(M$3:M$23, "Y")</f>
        <v>5</v>
      </c>
      <c r="N26" s="54" t="n">
        <f aca="false">COUNTIF(N$3:N$23, "~**")+COUNTIF(N$3:N$23, "Y")</f>
        <v>1</v>
      </c>
      <c r="O26" s="54" t="n">
        <f aca="false">COUNTIF(O$3:O$23, "~**")+COUNTIF(O$3:O$23, "Y")</f>
        <v>4</v>
      </c>
      <c r="P26" s="54"/>
      <c r="Q26" s="54"/>
      <c r="R26" s="54"/>
      <c r="S26" s="54"/>
      <c r="T26" s="54"/>
      <c r="U26" s="55"/>
      <c r="V26" s="2" t="s">
        <v>29</v>
      </c>
      <c r="W26" s="2"/>
      <c r="X26" s="37" t="n">
        <v>20</v>
      </c>
      <c r="Y26" s="55"/>
      <c r="Z26" s="37"/>
      <c r="AA26" s="37"/>
      <c r="AB26" s="37"/>
      <c r="AC26" s="37"/>
      <c r="AD26" s="37" t="n">
        <v>20</v>
      </c>
      <c r="AE26" s="56"/>
      <c r="AF26" s="37" t="n">
        <v>5</v>
      </c>
      <c r="AG26" s="37" t="n">
        <v>5</v>
      </c>
      <c r="AH26" s="57"/>
      <c r="AJ26" s="2" t="n">
        <v>5</v>
      </c>
      <c r="AL26" s="2" t="n">
        <v>5</v>
      </c>
      <c r="AM26" s="37" t="n">
        <v>10</v>
      </c>
      <c r="AN26" s="58"/>
      <c r="AO26" s="59"/>
      <c r="AP26" s="37" t="n">
        <v>3</v>
      </c>
      <c r="AQ26" s="37" t="n">
        <v>40</v>
      </c>
      <c r="AR26" s="19" t="n">
        <f aca="false">SUM(X26,AD26,AF26:AG26,AM26,AP26:AQ26,)</f>
        <v>103</v>
      </c>
      <c r="AS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7"/>
      <c r="V27" s="2"/>
      <c r="W27" s="2"/>
      <c r="X27" s="61"/>
      <c r="Y27" s="62"/>
      <c r="Z27" s="61"/>
      <c r="AA27" s="61"/>
      <c r="AB27" s="61"/>
      <c r="AC27" s="61"/>
      <c r="AD27" s="61"/>
      <c r="AE27" s="63"/>
      <c r="AF27" s="2"/>
      <c r="AG27" s="2"/>
      <c r="AH27" s="57"/>
      <c r="AM27" s="61"/>
      <c r="AN27" s="64"/>
      <c r="AO27" s="65"/>
      <c r="AP27" s="2"/>
      <c r="AQ27" s="2"/>
      <c r="AR27" s="66"/>
      <c r="AS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7"/>
      <c r="V28" s="2" t="s">
        <v>31</v>
      </c>
      <c r="W28" s="2"/>
      <c r="X28" s="61" t="n">
        <f aca="false">IFERROR(COUNTA(X$3:X23)/COUNTA($B$3:$B$23), 0)</f>
        <v>0.8823529412</v>
      </c>
      <c r="Y28" s="62"/>
      <c r="Z28" s="61"/>
      <c r="AA28" s="61"/>
      <c r="AB28" s="61"/>
      <c r="AC28" s="61"/>
      <c r="AD28" s="61" t="n">
        <f aca="false">IFERROR(COUNTA(AD$3:AD23)/COUNTA($B$3:$B$23), 0)</f>
        <v>0.8235294118</v>
      </c>
      <c r="AE28" s="63"/>
      <c r="AF28" s="2"/>
      <c r="AG28" s="2"/>
      <c r="AH28" s="57"/>
      <c r="AJ28" s="61" t="n">
        <f aca="false">IFERROR(COUNTIF(AJ$3:AJ23, "&gt;0")/COUNTA($B$3:$B$22), 0)</f>
        <v>0.8823529412</v>
      </c>
      <c r="AL28" s="61" t="n">
        <f aca="false">IFERROR(COUNTIF(AL$3:AL23, "&gt;0")/COUNTA($B$3:$B$22), 0)</f>
        <v>0.882352941176471</v>
      </c>
      <c r="AM28" s="61" t="n">
        <f aca="false">IFERROR(COUNTIF(AM$3:AM23, "&gt;0")/COUNTA($B$3:$B$22), 0)</f>
        <v>0.882352941176471</v>
      </c>
      <c r="AN28" s="64"/>
      <c r="AO28" s="65"/>
      <c r="AP28" s="2"/>
      <c r="AQ28" s="61" t="n">
        <f aca="false">IFERROR(COUNTIF(AQ$3:AQ23, "&gt;24")/COUNTA($B$3:$B$22), 0)</f>
        <v>0.7647058824</v>
      </c>
      <c r="AR28" s="66"/>
      <c r="AS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47"/>
      <c r="V29" s="2"/>
      <c r="W29" s="2"/>
      <c r="X29" s="2"/>
      <c r="Y29" s="47"/>
      <c r="Z29" s="2"/>
      <c r="AA29" s="2"/>
      <c r="AB29" s="2"/>
      <c r="AC29" s="2"/>
      <c r="AD29" s="2"/>
      <c r="AE29" s="63"/>
      <c r="AF29" s="2"/>
      <c r="AG29" s="2"/>
      <c r="AH29" s="63"/>
      <c r="AI29" s="2"/>
      <c r="AJ29" s="2"/>
      <c r="AK29" s="2"/>
      <c r="AL29" s="2"/>
      <c r="AM29" s="2"/>
      <c r="AN29" s="64"/>
      <c r="AO29" s="65"/>
      <c r="AP29" s="2"/>
      <c r="AQ29" s="2"/>
      <c r="AR29" s="66"/>
      <c r="AS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2"/>
      <c r="Q30" s="2"/>
      <c r="R30" s="2"/>
      <c r="S30" s="2"/>
      <c r="T30" s="2"/>
      <c r="U30" s="47"/>
      <c r="V30" s="2"/>
      <c r="W30" s="2"/>
      <c r="X30" s="2"/>
      <c r="Y30" s="47"/>
      <c r="Z30" s="2"/>
      <c r="AA30" s="2"/>
      <c r="AB30" s="2"/>
      <c r="AC30" s="2"/>
      <c r="AD30" s="2"/>
      <c r="AE30" s="63"/>
      <c r="AF30" s="2"/>
      <c r="AG30" s="2"/>
      <c r="AH30" s="63"/>
      <c r="AI30" s="2"/>
      <c r="AJ30" s="2"/>
      <c r="AK30" s="2"/>
      <c r="AL30" s="2"/>
      <c r="AM30" s="2"/>
      <c r="AN30" s="64"/>
      <c r="AO30" s="65"/>
      <c r="AP30" s="2"/>
      <c r="AQ30" s="2"/>
      <c r="AR30" s="66"/>
      <c r="AS30" s="2"/>
    </row>
    <row r="31" customFormat="false" ht="15.75" hidden="false" customHeight="false" outlineLevel="0" collapsed="false">
      <c r="E31" s="2" t="s">
        <v>35</v>
      </c>
      <c r="U31" s="68"/>
      <c r="Y31" s="68"/>
      <c r="AE31" s="57"/>
      <c r="AH31" s="57"/>
      <c r="AN31" s="69"/>
      <c r="AO31" s="70"/>
      <c r="AR31" s="71"/>
    </row>
    <row r="32" customFormat="false" ht="15.75" hidden="false" customHeight="false" outlineLevel="0" collapsed="false">
      <c r="E32" s="2" t="s">
        <v>36</v>
      </c>
      <c r="U32" s="68"/>
      <c r="Y32" s="68"/>
      <c r="AB32" s="71"/>
      <c r="AE32" s="57"/>
      <c r="AH32" s="57"/>
      <c r="AN32" s="69"/>
      <c r="AO32" s="70"/>
      <c r="AR32" s="71"/>
    </row>
    <row r="33" customFormat="false" ht="15.75" hidden="false" customHeight="false" outlineLevel="0" collapsed="false">
      <c r="U33" s="68"/>
      <c r="Y33" s="68"/>
      <c r="AE33" s="57"/>
      <c r="AH33" s="57"/>
      <c r="AN33" s="69"/>
      <c r="AO33" s="70"/>
      <c r="AR33" s="71"/>
    </row>
  </sheetData>
  <mergeCells count="15">
    <mergeCell ref="A1:A2"/>
    <mergeCell ref="E1:L1"/>
    <mergeCell ref="M1:O1"/>
    <mergeCell ref="P1:T1"/>
    <mergeCell ref="V1:X1"/>
    <mergeCell ref="Z1:AD1"/>
    <mergeCell ref="AF1:AF2"/>
    <mergeCell ref="AG1:AG2"/>
    <mergeCell ref="AI1:AJ1"/>
    <mergeCell ref="AK1:AL1"/>
    <mergeCell ref="AM1:AM2"/>
    <mergeCell ref="AO1:AO2"/>
    <mergeCell ref="AP1:AP2"/>
    <mergeCell ref="AQ1:AQ2"/>
    <mergeCell ref="AR1:AS1"/>
  </mergeCells>
  <conditionalFormatting sqref="AN3:AO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S3:AS23">
    <cfRule type="beginsWith" priority="4" operator="beginsWith" aboveAverage="0" equalAverage="0" bottom="0" percent="0" rank="0" text="зачет" dxfId="2">
      <formula>LEFT(AS3,LEN("зачет"))="зачет"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X3:X23 AD3:AG23 AM3:AM23 AP3:AQ23">
    <cfRule type="containsText" priority="6" operator="containsText" aboveAverage="0" equalAverage="0" bottom="0" percent="0" rank="0" text="." dxfId="4">
      <formula>NOT(ISERROR(SEARCH(".",X3)))</formula>
    </cfRule>
  </conditionalFormatting>
  <conditionalFormatting sqref="W3:W23">
    <cfRule type="expression" priority="7" aboveAverage="0" equalAverage="0" bottom="0" percent="0" rank="0" text="" dxfId="5">
      <formula>W3&gt;45230</formula>
    </cfRule>
  </conditionalFormatting>
  <conditionalFormatting sqref="AA3:AC23 AH3:AL23">
    <cfRule type="expression" priority="8" aboveAverage="0" equalAverage="0" bottom="0" percent="0" rank="0" text="" dxfId="5">
      <formula>AA3&gt;45657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V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25"/>
    <col collapsed="false" customWidth="true" hidden="false" outlineLevel="0" max="30" min="28" style="0" width="5"/>
    <col collapsed="false" customWidth="true" hidden="false" outlineLevel="0" max="31" min="31" style="0" width="4.38"/>
    <col collapsed="false" customWidth="true" hidden="false" outlineLevel="0" max="32" min="32" style="0" width="0.38"/>
    <col collapsed="false" customWidth="true" hidden="false" outlineLevel="0" max="36" min="33" style="0" width="4.38"/>
    <col collapsed="false" customWidth="true" hidden="false" outlineLevel="0" max="37" min="37" style="0" width="4.5"/>
    <col collapsed="false" customWidth="true" hidden="false" outlineLevel="0" max="38" min="38" style="0" width="0.38"/>
    <col collapsed="false" customWidth="true" hidden="false" outlineLevel="0" max="40" min="39" style="0" width="5.63"/>
    <col collapsed="false" customWidth="true" hidden="false" outlineLevel="0" max="41" min="41" style="0" width="0.38"/>
    <col collapsed="false" customWidth="true" hidden="false" outlineLevel="0" max="42" min="42" style="0" width="5.63"/>
    <col collapsed="false" customWidth="true" hidden="false" outlineLevel="0" max="43" min="43" style="0" width="0.38"/>
    <col collapsed="false" customWidth="true" hidden="false" outlineLevel="0" max="44" min="44" style="0" width="7.63"/>
    <col collapsed="false" customWidth="true" hidden="false" outlineLevel="0" max="45" min="45" style="0" width="5.63"/>
    <col collapsed="false" customWidth="true" hidden="false" outlineLevel="0" max="46" min="46" style="0" width="7.12"/>
    <col collapsed="false" customWidth="true" hidden="false" outlineLevel="0" max="47" min="47" style="0" width="6.88"/>
    <col collapsed="false" customWidth="true" hidden="false" outlineLevel="0" max="48" min="48" style="0" width="7.5"/>
  </cols>
  <sheetData>
    <row r="1" customFormat="false" ht="15.75" hidden="false" customHeight="false" outlineLevel="0" collapsed="false">
      <c r="A1" s="1" t="s">
        <v>37</v>
      </c>
      <c r="B1" s="2" t="s">
        <v>38</v>
      </c>
      <c r="C1" s="3"/>
      <c r="D1" s="28" t="n">
        <f aca="false">COLUMNS(A2:AV2)-40</f>
        <v>8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4</v>
      </c>
      <c r="R1" s="5"/>
      <c r="S1" s="5"/>
      <c r="T1" s="6"/>
      <c r="U1" s="5" t="s">
        <v>39</v>
      </c>
      <c r="V1" s="5"/>
      <c r="W1" s="5"/>
      <c r="X1" s="5"/>
      <c r="Y1" s="5"/>
      <c r="Z1" s="6"/>
      <c r="AA1" s="5" t="s">
        <v>40</v>
      </c>
      <c r="AB1" s="5"/>
      <c r="AC1" s="5"/>
      <c r="AD1" s="5"/>
      <c r="AE1" s="5"/>
      <c r="AF1" s="7"/>
      <c r="AG1" s="5" t="s">
        <v>41</v>
      </c>
      <c r="AH1" s="5"/>
      <c r="AI1" s="5"/>
      <c r="AJ1" s="5"/>
      <c r="AK1" s="5"/>
      <c r="AL1" s="7"/>
      <c r="AM1" s="8" t="s">
        <v>42</v>
      </c>
      <c r="AN1" s="8"/>
      <c r="AO1" s="72"/>
      <c r="AP1" s="73" t="s">
        <v>43</v>
      </c>
      <c r="AQ1" s="10"/>
      <c r="AR1" s="11" t="s">
        <v>10</v>
      </c>
      <c r="AS1" s="8" t="s">
        <v>11</v>
      </c>
      <c r="AT1" s="8" t="s">
        <v>12</v>
      </c>
      <c r="AU1" s="12" t="s">
        <v>13</v>
      </c>
      <c r="AV1" s="12"/>
    </row>
    <row r="2" customFormat="false" ht="26.8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/>
      <c r="F2" s="15"/>
      <c r="G2" s="15"/>
      <c r="H2" s="15"/>
      <c r="I2" s="15"/>
      <c r="J2" s="15"/>
      <c r="K2" s="15"/>
      <c r="L2" s="15"/>
      <c r="M2" s="16"/>
      <c r="N2" s="17"/>
      <c r="O2" s="17"/>
      <c r="P2" s="18"/>
      <c r="Q2" s="19" t="s">
        <v>17</v>
      </c>
      <c r="R2" s="19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19" t="s">
        <v>18</v>
      </c>
      <c r="Y2" s="19" t="s">
        <v>19</v>
      </c>
      <c r="Z2" s="6"/>
      <c r="AA2" s="19" t="s">
        <v>17</v>
      </c>
      <c r="AB2" s="20" t="s">
        <v>20</v>
      </c>
      <c r="AC2" s="19" t="s">
        <v>21</v>
      </c>
      <c r="AD2" s="19" t="s">
        <v>18</v>
      </c>
      <c r="AE2" s="19" t="s">
        <v>19</v>
      </c>
      <c r="AF2" s="7"/>
      <c r="AG2" s="19" t="s">
        <v>17</v>
      </c>
      <c r="AH2" s="20" t="s">
        <v>20</v>
      </c>
      <c r="AI2" s="19" t="s">
        <v>21</v>
      </c>
      <c r="AJ2" s="20" t="s">
        <v>18</v>
      </c>
      <c r="AK2" s="19" t="s">
        <v>19</v>
      </c>
      <c r="AL2" s="21"/>
      <c r="AM2" s="22" t="s">
        <v>22</v>
      </c>
      <c r="AN2" s="22" t="s">
        <v>23</v>
      </c>
      <c r="AO2" s="74"/>
      <c r="AP2" s="22" t="s">
        <v>23</v>
      </c>
      <c r="AQ2" s="10"/>
      <c r="AR2" s="11"/>
      <c r="AS2" s="11"/>
      <c r="AT2" s="11"/>
      <c r="AU2" s="23" t="s">
        <v>24</v>
      </c>
      <c r="AV2" s="24" t="s">
        <v>25</v>
      </c>
    </row>
    <row r="3" customFormat="false" ht="15.75" hidden="false" customHeight="false" outlineLevel="0" collapsed="false">
      <c r="A3" s="25" t="n">
        <v>1</v>
      </c>
      <c r="B3" s="26" t="s">
        <v>44</v>
      </c>
      <c r="C3" s="27"/>
      <c r="D3" s="27" t="n">
        <v>470119</v>
      </c>
      <c r="E3" s="28" t="s">
        <v>45</v>
      </c>
      <c r="F3" s="28" t="s">
        <v>45</v>
      </c>
      <c r="G3" s="28" t="s">
        <v>45</v>
      </c>
      <c r="H3" s="28"/>
      <c r="I3" s="28"/>
      <c r="J3" s="28"/>
      <c r="K3" s="28"/>
      <c r="L3" s="28"/>
      <c r="M3" s="29"/>
      <c r="N3" s="29"/>
      <c r="O3" s="29"/>
      <c r="P3" s="30"/>
      <c r="Q3" s="31" t="n">
        <v>50</v>
      </c>
      <c r="R3" s="39" t="n">
        <v>20.1</v>
      </c>
      <c r="S3" s="33" t="n">
        <v>10</v>
      </c>
      <c r="T3" s="34"/>
      <c r="U3" s="35" t="n">
        <v>73</v>
      </c>
      <c r="V3" s="39" t="n">
        <v>8.11</v>
      </c>
      <c r="W3" s="39" t="n">
        <v>8.11</v>
      </c>
      <c r="X3" s="39" t="n">
        <v>8.11</v>
      </c>
      <c r="Y3" s="37" t="n">
        <v>10</v>
      </c>
      <c r="Z3" s="55"/>
      <c r="AA3" s="35" t="n">
        <v>773</v>
      </c>
      <c r="AB3" s="39" t="n">
        <v>16.11</v>
      </c>
      <c r="AC3" s="39" t="n">
        <v>16.11</v>
      </c>
      <c r="AD3" s="39" t="n">
        <v>16.11</v>
      </c>
      <c r="AE3" s="37" t="n">
        <v>10</v>
      </c>
      <c r="AF3" s="38"/>
      <c r="AG3" s="35" t="n">
        <v>321</v>
      </c>
      <c r="AH3" s="41" t="n">
        <v>45637</v>
      </c>
      <c r="AI3" s="41" t="n">
        <v>45637</v>
      </c>
      <c r="AJ3" s="41" t="n">
        <v>45637</v>
      </c>
      <c r="AK3" s="37" t="n">
        <v>10</v>
      </c>
      <c r="AL3" s="40"/>
      <c r="AM3" s="41" t="n">
        <v>45644</v>
      </c>
      <c r="AN3" s="28" t="n">
        <v>10</v>
      </c>
      <c r="AO3" s="75"/>
      <c r="AP3" s="41"/>
      <c r="AQ3" s="42"/>
      <c r="AR3" s="43" t="str">
        <f aca="false">IF(AND(S3&gt;=12,Y3&gt;=12,AN3&gt;=6),"да","нет")</f>
        <v>нет</v>
      </c>
      <c r="AS3" s="2"/>
      <c r="AT3" s="2"/>
      <c r="AU3" s="23" t="n">
        <f aca="false">SUM(S3,Y3,AE3,AK3,AN3,AT3,AS3, AP3)</f>
        <v>50</v>
      </c>
      <c r="AV3" s="29" t="str">
        <f aca="false">IF(AND(AU3&gt;=60, AN3&gt;=6),"Зачет","Незачет")</f>
        <v>Незачет</v>
      </c>
    </row>
    <row r="4" customFormat="false" ht="15.75" hidden="false" customHeight="false" outlineLevel="0" collapsed="false">
      <c r="A4" s="25" t="n">
        <v>2</v>
      </c>
      <c r="B4" s="26" t="s">
        <v>46</v>
      </c>
      <c r="C4" s="27"/>
      <c r="D4" s="27" t="n">
        <v>408379</v>
      </c>
      <c r="E4" s="28" t="s">
        <v>45</v>
      </c>
      <c r="F4" s="28" t="s">
        <v>45</v>
      </c>
      <c r="G4" s="28" t="s">
        <v>45</v>
      </c>
      <c r="H4" s="28" t="s">
        <v>45</v>
      </c>
      <c r="I4" s="28"/>
      <c r="J4" s="28"/>
      <c r="K4" s="28"/>
      <c r="L4" s="28"/>
      <c r="M4" s="29"/>
      <c r="N4" s="29"/>
      <c r="O4" s="29"/>
      <c r="P4" s="30"/>
      <c r="Q4" s="31" t="n">
        <v>51</v>
      </c>
      <c r="R4" s="39" t="n">
        <v>29.1</v>
      </c>
      <c r="S4" s="33" t="n">
        <v>6</v>
      </c>
      <c r="T4" s="34"/>
      <c r="U4" s="35" t="n">
        <v>62</v>
      </c>
      <c r="V4" s="28" t="n">
        <v>16.11</v>
      </c>
      <c r="W4" s="28" t="n">
        <v>16.11</v>
      </c>
      <c r="X4" s="28" t="n">
        <v>16.11</v>
      </c>
      <c r="Y4" s="37" t="n">
        <v>6</v>
      </c>
      <c r="Z4" s="55"/>
      <c r="AA4" s="35" t="n">
        <v>90</v>
      </c>
      <c r="AB4" s="28" t="n">
        <v>25.11</v>
      </c>
      <c r="AC4" s="28" t="n">
        <v>25.11</v>
      </c>
      <c r="AD4" s="28" t="n">
        <v>25.11</v>
      </c>
      <c r="AE4" s="37" t="n">
        <v>6</v>
      </c>
      <c r="AF4" s="38"/>
      <c r="AG4" s="35" t="n">
        <v>432</v>
      </c>
      <c r="AH4" s="28" t="n">
        <v>27.11</v>
      </c>
      <c r="AI4" s="28" t="n">
        <v>27.11</v>
      </c>
      <c r="AJ4" s="28" t="n">
        <v>27.11</v>
      </c>
      <c r="AK4" s="37" t="n">
        <v>6</v>
      </c>
      <c r="AL4" s="40"/>
      <c r="AM4" s="41" t="n">
        <v>45651</v>
      </c>
      <c r="AN4" s="28" t="n">
        <v>6</v>
      </c>
      <c r="AO4" s="75"/>
      <c r="AP4" s="41"/>
      <c r="AQ4" s="42"/>
      <c r="AR4" s="43" t="str">
        <f aca="false">IF(AND(S4&gt;=12,Y4&gt;=12,AN4&gt;=6),"да","нет")</f>
        <v>нет</v>
      </c>
      <c r="AS4" s="2"/>
      <c r="AT4" s="2"/>
      <c r="AU4" s="23" t="n">
        <f aca="false">SUM(S4,Y4,AE4,AK4,AN4,AT4,AS4, AP4)</f>
        <v>30</v>
      </c>
      <c r="AV4" s="29" t="str">
        <f aca="false">IF(AND(AU4&gt;=60, AN4&gt;=6),"Зачет","Незачет")</f>
        <v>Незачет</v>
      </c>
    </row>
    <row r="5" customFormat="false" ht="15.75" hidden="false" customHeight="false" outlineLevel="0" collapsed="false">
      <c r="A5" s="25" t="n">
        <v>3</v>
      </c>
      <c r="B5" s="26" t="s">
        <v>47</v>
      </c>
      <c r="C5" s="27"/>
      <c r="D5" s="27" t="n">
        <v>409308</v>
      </c>
      <c r="E5" s="28" t="s">
        <v>45</v>
      </c>
      <c r="F5" s="28" t="s">
        <v>45</v>
      </c>
      <c r="G5" s="28" t="s">
        <v>45</v>
      </c>
      <c r="H5" s="28"/>
      <c r="I5" s="28"/>
      <c r="J5" s="28"/>
      <c r="K5" s="28"/>
      <c r="L5" s="28"/>
      <c r="M5" s="29"/>
      <c r="N5" s="29"/>
      <c r="O5" s="29"/>
      <c r="P5" s="30"/>
      <c r="Q5" s="31" t="n">
        <v>52</v>
      </c>
      <c r="R5" s="39" t="n">
        <v>8.11</v>
      </c>
      <c r="S5" s="33" t="n">
        <v>6</v>
      </c>
      <c r="T5" s="34"/>
      <c r="U5" s="35" t="n">
        <v>98</v>
      </c>
      <c r="V5" s="28" t="n">
        <v>25.11</v>
      </c>
      <c r="W5" s="28" t="n">
        <v>25.11</v>
      </c>
      <c r="X5" s="28" t="n">
        <v>25.11</v>
      </c>
      <c r="Y5" s="37" t="n">
        <v>6</v>
      </c>
      <c r="Z5" s="55"/>
      <c r="AA5" s="35" t="n">
        <v>887</v>
      </c>
      <c r="AB5" s="36" t="n">
        <v>45672</v>
      </c>
      <c r="AC5" s="36" t="n">
        <v>45672</v>
      </c>
      <c r="AD5" s="36" t="n">
        <v>45672</v>
      </c>
      <c r="AE5" s="37" t="n">
        <v>6</v>
      </c>
      <c r="AF5" s="38"/>
      <c r="AG5" s="35" t="n">
        <v>345</v>
      </c>
      <c r="AH5" s="36"/>
      <c r="AI5" s="36"/>
      <c r="AJ5" s="36"/>
      <c r="AK5" s="37"/>
      <c r="AL5" s="44"/>
      <c r="AM5" s="41" t="n">
        <v>45651</v>
      </c>
      <c r="AN5" s="28" t="n">
        <v>6</v>
      </c>
      <c r="AO5" s="76"/>
      <c r="AP5" s="36"/>
      <c r="AQ5" s="42"/>
      <c r="AR5" s="43" t="str">
        <f aca="false">IF(AND(S5&gt;=12,Y5&gt;=12,AN5&gt;=6),"да","нет")</f>
        <v>нет</v>
      </c>
      <c r="AS5" s="2"/>
      <c r="AT5" s="2"/>
      <c r="AU5" s="23" t="n">
        <f aca="false">SUM(S5,Y5,AE5,AK5,AN5,AT5,AS5, AP5)</f>
        <v>24</v>
      </c>
      <c r="AV5" s="29" t="str">
        <f aca="false">IF(AND(AU5&gt;=60, AN5&gt;=6),"Зачет","Незачет")</f>
        <v>Незачет</v>
      </c>
    </row>
    <row r="6" customFormat="false" ht="15.75" hidden="false" customHeight="false" outlineLevel="0" collapsed="false">
      <c r="A6" s="25" t="n">
        <v>4</v>
      </c>
      <c r="B6" s="26" t="s">
        <v>48</v>
      </c>
      <c r="C6" s="27"/>
      <c r="D6" s="27" t="n">
        <v>437249</v>
      </c>
      <c r="E6" s="28"/>
      <c r="F6" s="28"/>
      <c r="G6" s="28"/>
      <c r="H6" s="28"/>
      <c r="I6" s="28"/>
      <c r="J6" s="28"/>
      <c r="K6" s="28"/>
      <c r="L6" s="28"/>
      <c r="M6" s="29"/>
      <c r="N6" s="29"/>
      <c r="O6" s="29"/>
      <c r="P6" s="30"/>
      <c r="Q6" s="31" t="n">
        <v>53</v>
      </c>
      <c r="R6" s="32"/>
      <c r="S6" s="33"/>
      <c r="T6" s="34"/>
      <c r="U6" s="35"/>
      <c r="V6" s="36"/>
      <c r="W6" s="36"/>
      <c r="X6" s="36"/>
      <c r="Y6" s="37"/>
      <c r="Z6" s="55"/>
      <c r="AA6" s="35"/>
      <c r="AB6" s="36"/>
      <c r="AC6" s="36"/>
      <c r="AD6" s="36"/>
      <c r="AE6" s="37"/>
      <c r="AF6" s="38"/>
      <c r="AG6" s="35"/>
      <c r="AH6" s="36"/>
      <c r="AI6" s="36"/>
      <c r="AJ6" s="36"/>
      <c r="AK6" s="37"/>
      <c r="AL6" s="44"/>
      <c r="AM6" s="36"/>
      <c r="AN6" s="36"/>
      <c r="AO6" s="76"/>
      <c r="AP6" s="36"/>
      <c r="AQ6" s="42"/>
      <c r="AR6" s="43" t="str">
        <f aca="false">IF(AND(S6&gt;=12,Y6&gt;=12,AN6&gt;=6),"да","нет")</f>
        <v>нет</v>
      </c>
      <c r="AS6" s="2"/>
      <c r="AT6" s="2"/>
      <c r="AU6" s="23" t="n">
        <f aca="false">SUM(S6,Y6,AE6,AK6,AN6,AT6,AS6, AP6)</f>
        <v>0</v>
      </c>
      <c r="AV6" s="29" t="str">
        <f aca="false">IF(AND(AU6&gt;=60, AN6&gt;=6),"Зачет","Незачет")</f>
        <v>Незачет</v>
      </c>
    </row>
    <row r="7" customFormat="false" ht="15.75" hidden="false" customHeight="false" outlineLevel="0" collapsed="false">
      <c r="A7" s="25" t="n">
        <v>5</v>
      </c>
      <c r="B7" s="26" t="s">
        <v>49</v>
      </c>
      <c r="C7" s="27"/>
      <c r="D7" s="27" t="n">
        <v>408708</v>
      </c>
      <c r="E7" s="28" t="s">
        <v>45</v>
      </c>
      <c r="F7" s="28" t="s">
        <v>45</v>
      </c>
      <c r="G7" s="28" t="s">
        <v>45</v>
      </c>
      <c r="H7" s="28" t="s">
        <v>45</v>
      </c>
      <c r="I7" s="28"/>
      <c r="J7" s="28"/>
      <c r="K7" s="28"/>
      <c r="L7" s="28"/>
      <c r="M7" s="29"/>
      <c r="N7" s="29"/>
      <c r="O7" s="29"/>
      <c r="P7" s="30"/>
      <c r="Q7" s="31" t="n">
        <v>54</v>
      </c>
      <c r="R7" s="39" t="n">
        <v>20.1</v>
      </c>
      <c r="S7" s="33" t="n">
        <v>10</v>
      </c>
      <c r="T7" s="34"/>
      <c r="U7" s="35" t="n">
        <v>89</v>
      </c>
      <c r="V7" s="28" t="n">
        <v>10.11</v>
      </c>
      <c r="W7" s="28" t="n">
        <v>10.11</v>
      </c>
      <c r="X7" s="28" t="n">
        <v>10.11</v>
      </c>
      <c r="Y7" s="37" t="n">
        <v>10</v>
      </c>
      <c r="Z7" s="55"/>
      <c r="AA7" s="35" t="n">
        <v>882</v>
      </c>
      <c r="AB7" s="2" t="n">
        <v>26.11</v>
      </c>
      <c r="AC7" s="2" t="n">
        <v>26.11</v>
      </c>
      <c r="AD7" s="2" t="n">
        <v>26.11</v>
      </c>
      <c r="AE7" s="37" t="n">
        <v>10</v>
      </c>
      <c r="AF7" s="38"/>
      <c r="AG7" s="35" t="n">
        <v>321</v>
      </c>
      <c r="AH7" s="77" t="n">
        <v>45672</v>
      </c>
      <c r="AI7" s="77" t="n">
        <v>45672</v>
      </c>
      <c r="AJ7" s="77" t="n">
        <v>45672</v>
      </c>
      <c r="AK7" s="37" t="n">
        <v>10</v>
      </c>
      <c r="AL7" s="40"/>
      <c r="AM7" s="41" t="n">
        <v>45651</v>
      </c>
      <c r="AN7" s="28" t="n">
        <v>10</v>
      </c>
      <c r="AO7" s="75"/>
      <c r="AP7" s="41"/>
      <c r="AQ7" s="42"/>
      <c r="AR7" s="43" t="str">
        <f aca="false">IF(AND(S7&gt;=12,Y7&gt;=12,AN7&gt;=6),"да","нет")</f>
        <v>нет</v>
      </c>
      <c r="AS7" s="2"/>
      <c r="AT7" s="2"/>
      <c r="AU7" s="23" t="n">
        <f aca="false">SUM(S7,Y7,AE7,AK7,AN7,AT7,AS7, AP7)</f>
        <v>50</v>
      </c>
      <c r="AV7" s="29" t="str">
        <f aca="false">IF(AND(AU7&gt;=60, AN7&gt;=6),"Зачет","Незачет")</f>
        <v>Незачет</v>
      </c>
    </row>
    <row r="8" customFormat="false" ht="15.75" hidden="false" customHeight="false" outlineLevel="0" collapsed="false">
      <c r="A8" s="25" t="n">
        <v>6</v>
      </c>
      <c r="B8" s="26" t="s">
        <v>50</v>
      </c>
      <c r="C8" s="27"/>
      <c r="D8" s="27" t="n">
        <v>409922</v>
      </c>
      <c r="E8" s="28"/>
      <c r="F8" s="28"/>
      <c r="G8" s="28"/>
      <c r="H8" s="28"/>
      <c r="I8" s="28"/>
      <c r="J8" s="28"/>
      <c r="K8" s="28"/>
      <c r="L8" s="28"/>
      <c r="M8" s="29"/>
      <c r="N8" s="29"/>
      <c r="O8" s="29"/>
      <c r="P8" s="30"/>
      <c r="Q8" s="31" t="n">
        <v>55</v>
      </c>
      <c r="R8" s="32"/>
      <c r="S8" s="33"/>
      <c r="T8" s="34"/>
      <c r="U8" s="35"/>
      <c r="V8" s="36"/>
      <c r="W8" s="36"/>
      <c r="X8" s="36"/>
      <c r="Y8" s="37"/>
      <c r="Z8" s="55"/>
      <c r="AA8" s="35"/>
      <c r="AB8" s="36"/>
      <c r="AC8" s="36"/>
      <c r="AD8" s="36"/>
      <c r="AE8" s="37"/>
      <c r="AF8" s="38"/>
      <c r="AG8" s="35"/>
      <c r="AH8" s="36"/>
      <c r="AI8" s="36"/>
      <c r="AJ8" s="36"/>
      <c r="AK8" s="37"/>
      <c r="AL8" s="40"/>
      <c r="AM8" s="41"/>
      <c r="AN8" s="41"/>
      <c r="AO8" s="75"/>
      <c r="AP8" s="41"/>
      <c r="AQ8" s="42"/>
      <c r="AR8" s="43" t="str">
        <f aca="false">IF(AND(S8&gt;=12,Y8&gt;=12,AN8&gt;=6),"да","нет")</f>
        <v>нет</v>
      </c>
      <c r="AS8" s="2"/>
      <c r="AT8" s="2"/>
      <c r="AU8" s="23" t="n">
        <f aca="false">SUM(S8,Y8,AE8,AK8,AN8,AT8,AS8, AP8)</f>
        <v>0</v>
      </c>
      <c r="AV8" s="29" t="str">
        <f aca="false">IF(AND(AU8&gt;=60, AN8&gt;=6),"Зачет","Незачет")</f>
        <v>Незачет</v>
      </c>
    </row>
    <row r="9" customFormat="false" ht="15.75" hidden="false" customHeight="false" outlineLevel="0" collapsed="false">
      <c r="A9" s="25" t="n">
        <v>7</v>
      </c>
      <c r="B9" s="26" t="s">
        <v>51</v>
      </c>
      <c r="C9" s="27"/>
      <c r="D9" s="27" t="n">
        <v>368160</v>
      </c>
      <c r="E9" s="28"/>
      <c r="F9" s="28"/>
      <c r="G9" s="28"/>
      <c r="H9" s="28"/>
      <c r="I9" s="28"/>
      <c r="J9" s="28"/>
      <c r="K9" s="28"/>
      <c r="L9" s="28"/>
      <c r="M9" s="29"/>
      <c r="N9" s="29"/>
      <c r="O9" s="29"/>
      <c r="P9" s="30"/>
      <c r="Q9" s="31"/>
      <c r="R9" s="32"/>
      <c r="S9" s="33"/>
      <c r="T9" s="34"/>
      <c r="U9" s="35" t="n">
        <v>56</v>
      </c>
      <c r="V9" s="36"/>
      <c r="W9" s="36"/>
      <c r="X9" s="36"/>
      <c r="Y9" s="37"/>
      <c r="Z9" s="55"/>
      <c r="AA9" s="35"/>
      <c r="AB9" s="36"/>
      <c r="AC9" s="36"/>
      <c r="AD9" s="36"/>
      <c r="AE9" s="37"/>
      <c r="AF9" s="38"/>
      <c r="AG9" s="35"/>
      <c r="AH9" s="36"/>
      <c r="AI9" s="36"/>
      <c r="AJ9" s="36"/>
      <c r="AK9" s="37"/>
      <c r="AL9" s="44"/>
      <c r="AM9" s="36"/>
      <c r="AN9" s="36"/>
      <c r="AO9" s="76"/>
      <c r="AP9" s="36"/>
      <c r="AQ9" s="42"/>
      <c r="AR9" s="43" t="str">
        <f aca="false">IF(AND(S9&gt;=12,Y9&gt;=12,AN9&gt;=6),"да","нет")</f>
        <v>нет</v>
      </c>
      <c r="AS9" s="2"/>
      <c r="AT9" s="2"/>
      <c r="AU9" s="23" t="n">
        <f aca="false">SUM(S9,Y9,AE9,AK9,AN9,AT9,AS9, AP9)</f>
        <v>0</v>
      </c>
      <c r="AV9" s="29" t="str">
        <f aca="false">IF(AND(AU9&gt;=60, AN9&gt;=6),"Зачет","Незачет")</f>
        <v>Незачет</v>
      </c>
    </row>
    <row r="10" customFormat="false" ht="15.75" hidden="false" customHeight="false" outlineLevel="0" collapsed="false">
      <c r="A10" s="25" t="n">
        <v>8</v>
      </c>
      <c r="B10" s="26" t="s">
        <v>52</v>
      </c>
      <c r="C10" s="27"/>
      <c r="D10" s="27" t="n">
        <v>334810</v>
      </c>
      <c r="E10" s="28"/>
      <c r="F10" s="28"/>
      <c r="G10" s="28"/>
      <c r="H10" s="28"/>
      <c r="I10" s="28"/>
      <c r="J10" s="28"/>
      <c r="K10" s="28"/>
      <c r="L10" s="28"/>
      <c r="M10" s="29"/>
      <c r="N10" s="29"/>
      <c r="O10" s="29"/>
      <c r="P10" s="30"/>
      <c r="Q10" s="31" t="n">
        <v>57</v>
      </c>
      <c r="R10" s="32"/>
      <c r="S10" s="33"/>
      <c r="T10" s="34"/>
      <c r="U10" s="35"/>
      <c r="V10" s="36"/>
      <c r="W10" s="36"/>
      <c r="X10" s="36"/>
      <c r="Y10" s="37"/>
      <c r="Z10" s="55"/>
      <c r="AA10" s="35"/>
      <c r="AB10" s="36"/>
      <c r="AC10" s="36"/>
      <c r="AD10" s="36"/>
      <c r="AE10" s="37"/>
      <c r="AF10" s="38"/>
      <c r="AG10" s="35"/>
      <c r="AH10" s="36"/>
      <c r="AI10" s="36"/>
      <c r="AJ10" s="36"/>
      <c r="AK10" s="37"/>
      <c r="AL10" s="40"/>
      <c r="AM10" s="41"/>
      <c r="AN10" s="41"/>
      <c r="AO10" s="75"/>
      <c r="AP10" s="41"/>
      <c r="AQ10" s="42"/>
      <c r="AR10" s="43" t="str">
        <f aca="false">IF(AND(S10&gt;=12,Y10&gt;=12,AN10&gt;=6),"да","нет")</f>
        <v>нет</v>
      </c>
      <c r="AS10" s="2"/>
      <c r="AT10" s="2"/>
      <c r="AU10" s="23" t="n">
        <f aca="false">SUM(S10,Y10,AE10,AK10,AN10,AT10,AS10, AP10)</f>
        <v>0</v>
      </c>
      <c r="AV10" s="29" t="str">
        <f aca="false">IF(AND(AU10&gt;=60, AN10&gt;=6),"Зачет","Незачет")</f>
        <v>Незачет</v>
      </c>
    </row>
    <row r="11" customFormat="false" ht="15.75" hidden="false" customHeight="false" outlineLevel="0" collapsed="false">
      <c r="A11" s="25" t="n">
        <v>9</v>
      </c>
      <c r="B11" s="26" t="s">
        <v>53</v>
      </c>
      <c r="C11" s="27"/>
      <c r="D11" s="27" t="n">
        <v>373302</v>
      </c>
      <c r="E11" s="28"/>
      <c r="F11" s="28"/>
      <c r="G11" s="28"/>
      <c r="H11" s="28"/>
      <c r="I11" s="28"/>
      <c r="J11" s="28"/>
      <c r="K11" s="28"/>
      <c r="L11" s="28"/>
      <c r="M11" s="29"/>
      <c r="N11" s="29"/>
      <c r="O11" s="29"/>
      <c r="P11" s="30"/>
      <c r="Q11" s="31" t="n">
        <v>58</v>
      </c>
      <c r="R11" s="32"/>
      <c r="S11" s="33"/>
      <c r="T11" s="34"/>
      <c r="U11" s="35"/>
      <c r="V11" s="36"/>
      <c r="W11" s="36"/>
      <c r="X11" s="36"/>
      <c r="Y11" s="37"/>
      <c r="Z11" s="55"/>
      <c r="AA11" s="35"/>
      <c r="AB11" s="36"/>
      <c r="AC11" s="36"/>
      <c r="AD11" s="36"/>
      <c r="AE11" s="37"/>
      <c r="AF11" s="38"/>
      <c r="AG11" s="35"/>
      <c r="AH11" s="36"/>
      <c r="AI11" s="36"/>
      <c r="AJ11" s="36"/>
      <c r="AK11" s="37"/>
      <c r="AL11" s="40"/>
      <c r="AM11" s="41" t="n">
        <v>45678</v>
      </c>
      <c r="AN11" s="28" t="n">
        <v>6</v>
      </c>
      <c r="AO11" s="75"/>
      <c r="AP11" s="41"/>
      <c r="AQ11" s="42"/>
      <c r="AR11" s="43" t="str">
        <f aca="false">IF(AND(S11&gt;=12,Y11&gt;=12,AN11&gt;=6),"да","нет")</f>
        <v>нет</v>
      </c>
      <c r="AS11" s="2"/>
      <c r="AT11" s="2"/>
      <c r="AU11" s="23" t="n">
        <f aca="false">SUM(S11,Y11,AE11,AK11,AN11,AT11,AS11, AP11)</f>
        <v>6</v>
      </c>
      <c r="AV11" s="29" t="str">
        <f aca="false">IF(AND(AU11&gt;=60, AN11&gt;=6),"Зачет","Незачет")</f>
        <v>Незачет</v>
      </c>
    </row>
    <row r="12" customFormat="false" ht="15.75" hidden="false" customHeight="false" outlineLevel="0" collapsed="false">
      <c r="A12" s="25" t="n">
        <v>10</v>
      </c>
      <c r="B12" s="26" t="s">
        <v>54</v>
      </c>
      <c r="C12" s="27"/>
      <c r="D12" s="27" t="n">
        <v>470407</v>
      </c>
      <c r="E12" s="28" t="s">
        <v>45</v>
      </c>
      <c r="F12" s="28" t="s">
        <v>45</v>
      </c>
      <c r="G12" s="28" t="s">
        <v>45</v>
      </c>
      <c r="H12" s="28" t="s">
        <v>45</v>
      </c>
      <c r="I12" s="28"/>
      <c r="J12" s="28"/>
      <c r="K12" s="28"/>
      <c r="L12" s="28"/>
      <c r="M12" s="29"/>
      <c r="N12" s="29"/>
      <c r="O12" s="29"/>
      <c r="P12" s="30"/>
      <c r="Q12" s="31" t="n">
        <v>59</v>
      </c>
      <c r="R12" s="39" t="n">
        <v>30.1</v>
      </c>
      <c r="S12" s="33" t="n">
        <v>6</v>
      </c>
      <c r="T12" s="34"/>
      <c r="U12" s="35" t="n">
        <v>432</v>
      </c>
      <c r="V12" s="28" t="n">
        <v>27.11</v>
      </c>
      <c r="W12" s="28" t="n">
        <v>27.11</v>
      </c>
      <c r="X12" s="28" t="n">
        <v>27.11</v>
      </c>
      <c r="Y12" s="37" t="n">
        <v>6</v>
      </c>
      <c r="Z12" s="55"/>
      <c r="AA12" s="35" t="n">
        <v>763</v>
      </c>
      <c r="AB12" s="36" t="n">
        <v>45713</v>
      </c>
      <c r="AC12" s="36" t="n">
        <v>45713</v>
      </c>
      <c r="AD12" s="36" t="n">
        <v>45713</v>
      </c>
      <c r="AE12" s="37" t="n">
        <v>6</v>
      </c>
      <c r="AF12" s="38"/>
      <c r="AG12" s="35" t="n">
        <v>773</v>
      </c>
      <c r="AH12" s="36" t="n">
        <v>45720</v>
      </c>
      <c r="AI12" s="36" t="n">
        <v>45720</v>
      </c>
      <c r="AJ12" s="36" t="n">
        <v>45720</v>
      </c>
      <c r="AK12" s="37" t="n">
        <v>6</v>
      </c>
      <c r="AL12" s="40"/>
      <c r="AM12" s="41" t="n">
        <v>45647</v>
      </c>
      <c r="AN12" s="28" t="n">
        <v>6</v>
      </c>
      <c r="AO12" s="75"/>
      <c r="AP12" s="41"/>
      <c r="AQ12" s="42"/>
      <c r="AR12" s="43" t="str">
        <f aca="false">IF(AND(S12&gt;=12,Y12&gt;=12,AN12&gt;=6),"да","нет")</f>
        <v>нет</v>
      </c>
      <c r="AS12" s="2"/>
      <c r="AT12" s="2"/>
      <c r="AU12" s="23" t="n">
        <f aca="false">SUM(S12,Y12,AE12,AK12,AN12,AT12,AS12, AP12)</f>
        <v>30</v>
      </c>
      <c r="AV12" s="29" t="str">
        <f aca="false">IF(AND(AU12&gt;=60, AN12&gt;=6),"Зачет","Незачет")</f>
        <v>Незачет</v>
      </c>
    </row>
    <row r="13" customFormat="false" ht="15.75" hidden="false" customHeight="false" outlineLevel="0" collapsed="false">
      <c r="A13" s="25" t="n">
        <v>11</v>
      </c>
      <c r="B13" s="2" t="s">
        <v>55</v>
      </c>
      <c r="C13" s="27"/>
      <c r="D13" s="27" t="n">
        <v>410770</v>
      </c>
      <c r="E13" s="28" t="s">
        <v>45</v>
      </c>
      <c r="F13" s="28" t="s">
        <v>45</v>
      </c>
      <c r="G13" s="28" t="s">
        <v>45</v>
      </c>
      <c r="H13" s="28"/>
      <c r="I13" s="28"/>
      <c r="J13" s="28"/>
      <c r="K13" s="28"/>
      <c r="L13" s="28"/>
      <c r="M13" s="29"/>
      <c r="N13" s="29"/>
      <c r="O13" s="29"/>
      <c r="P13" s="30"/>
      <c r="Q13" s="31" t="n">
        <v>60</v>
      </c>
      <c r="R13" s="39" t="n">
        <v>26.1</v>
      </c>
      <c r="S13" s="33" t="n">
        <v>10</v>
      </c>
      <c r="T13" s="34"/>
      <c r="U13" s="35" t="n">
        <v>101</v>
      </c>
      <c r="V13" s="28" t="n">
        <v>27.11</v>
      </c>
      <c r="W13" s="28" t="n">
        <v>27.11</v>
      </c>
      <c r="X13" s="28" t="n">
        <v>27.11</v>
      </c>
      <c r="Y13" s="37" t="n">
        <v>6</v>
      </c>
      <c r="Z13" s="55"/>
      <c r="AA13" s="35" t="n">
        <v>102</v>
      </c>
      <c r="AB13" s="28" t="n">
        <v>27.11</v>
      </c>
      <c r="AC13" s="28" t="n">
        <v>27.11</v>
      </c>
      <c r="AD13" s="28" t="n">
        <v>27.11</v>
      </c>
      <c r="AE13" s="37" t="n">
        <v>6</v>
      </c>
      <c r="AF13" s="38"/>
      <c r="AG13" s="35" t="n">
        <v>887</v>
      </c>
      <c r="AH13" s="36" t="n">
        <v>45680</v>
      </c>
      <c r="AI13" s="36" t="n">
        <v>45680</v>
      </c>
      <c r="AJ13" s="36" t="n">
        <v>45680</v>
      </c>
      <c r="AK13" s="37" t="n">
        <v>6</v>
      </c>
      <c r="AL13" s="40"/>
      <c r="AM13" s="41" t="n">
        <v>45678</v>
      </c>
      <c r="AN13" s="28" t="n">
        <v>6</v>
      </c>
      <c r="AO13" s="75"/>
      <c r="AP13" s="41"/>
      <c r="AQ13" s="42"/>
      <c r="AR13" s="43" t="str">
        <f aca="false">IF(AND(S13&gt;=12,Y13&gt;=12,AN13&gt;=6),"да","нет")</f>
        <v>нет</v>
      </c>
      <c r="AS13" s="2"/>
      <c r="AT13" s="2"/>
      <c r="AU13" s="23" t="n">
        <f aca="false">SUM(S13,Y13,AE13,AK13,AN13,AT13,AS13, AP13)</f>
        <v>34</v>
      </c>
      <c r="AV13" s="29" t="str">
        <f aca="false">IF(AND(AU13&gt;=60, AN13&gt;=6),"Зачет","Незачет")</f>
        <v>Незачет</v>
      </c>
    </row>
    <row r="14" customFormat="false" ht="15.75" hidden="false" customHeight="false" outlineLevel="0" collapsed="false">
      <c r="A14" s="25" t="n">
        <v>12</v>
      </c>
      <c r="B14" s="26" t="s">
        <v>56</v>
      </c>
      <c r="C14" s="27"/>
      <c r="D14" s="27" t="n">
        <v>262512</v>
      </c>
      <c r="E14" s="28" t="s">
        <v>45</v>
      </c>
      <c r="F14" s="28" t="s">
        <v>45</v>
      </c>
      <c r="G14" s="28" t="s">
        <v>45</v>
      </c>
      <c r="H14" s="28"/>
      <c r="I14" s="28"/>
      <c r="J14" s="28"/>
      <c r="K14" s="28"/>
      <c r="L14" s="28"/>
      <c r="M14" s="29"/>
      <c r="N14" s="29"/>
      <c r="O14" s="29"/>
      <c r="P14" s="30"/>
      <c r="Q14" s="31" t="n">
        <v>61</v>
      </c>
      <c r="R14" s="39" t="n">
        <v>29.1</v>
      </c>
      <c r="S14" s="33" t="n">
        <v>6</v>
      </c>
      <c r="T14" s="34"/>
      <c r="U14" s="35" t="n">
        <v>967</v>
      </c>
      <c r="V14" s="28" t="n">
        <v>10.11</v>
      </c>
      <c r="W14" s="28" t="n">
        <v>10.11</v>
      </c>
      <c r="X14" s="28" t="n">
        <v>10.11</v>
      </c>
      <c r="Y14" s="37" t="n">
        <v>6</v>
      </c>
      <c r="Z14" s="55"/>
      <c r="AA14" s="35" t="n">
        <v>889</v>
      </c>
      <c r="AB14" s="41" t="n">
        <v>45637</v>
      </c>
      <c r="AC14" s="41" t="n">
        <v>45637</v>
      </c>
      <c r="AD14" s="41" t="n">
        <v>45637</v>
      </c>
      <c r="AE14" s="37" t="n">
        <v>6</v>
      </c>
      <c r="AF14" s="38"/>
      <c r="AG14" s="35" t="n">
        <v>223</v>
      </c>
      <c r="AH14" s="77" t="n">
        <v>45673</v>
      </c>
      <c r="AI14" s="77" t="n">
        <v>45673</v>
      </c>
      <c r="AJ14" s="77" t="n">
        <v>45673</v>
      </c>
      <c r="AK14" s="37" t="n">
        <v>6</v>
      </c>
      <c r="AL14" s="40"/>
      <c r="AM14" s="41" t="n">
        <v>45678</v>
      </c>
      <c r="AN14" s="28" t="n">
        <v>6</v>
      </c>
      <c r="AO14" s="75"/>
      <c r="AP14" s="41"/>
      <c r="AQ14" s="42"/>
      <c r="AR14" s="43" t="str">
        <f aca="false">IF(AND(S14&gt;=12,Y14&gt;=12,AN14&gt;=6),"да","нет")</f>
        <v>нет</v>
      </c>
      <c r="AS14" s="2"/>
      <c r="AT14" s="2"/>
      <c r="AU14" s="23" t="n">
        <f aca="false">SUM(S14,Y14,AE14,AK14,AN14,AT14,AS14, AP14)</f>
        <v>30</v>
      </c>
      <c r="AV14" s="29" t="str">
        <f aca="false">IF(AND(AU14&gt;=60, AN14&gt;=6),"Зачет","Незачет")</f>
        <v>Незачет</v>
      </c>
    </row>
    <row r="15" customFormat="false" ht="15.75" hidden="false" customHeight="false" outlineLevel="0" collapsed="false">
      <c r="A15" s="25" t="n">
        <v>13</v>
      </c>
      <c r="B15" s="26" t="s">
        <v>57</v>
      </c>
      <c r="C15" s="27"/>
      <c r="D15" s="27" t="n">
        <v>408300</v>
      </c>
      <c r="E15" s="28" t="s">
        <v>45</v>
      </c>
      <c r="F15" s="28" t="s">
        <v>45</v>
      </c>
      <c r="G15" s="28" t="s">
        <v>45</v>
      </c>
      <c r="H15" s="28"/>
      <c r="I15" s="28"/>
      <c r="J15" s="28"/>
      <c r="K15" s="28"/>
      <c r="L15" s="28"/>
      <c r="M15" s="29"/>
      <c r="N15" s="29"/>
      <c r="O15" s="29"/>
      <c r="P15" s="30"/>
      <c r="Q15" s="31" t="n">
        <v>89</v>
      </c>
      <c r="R15" s="39" t="n">
        <v>8.11</v>
      </c>
      <c r="S15" s="33" t="n">
        <v>6</v>
      </c>
      <c r="T15" s="34"/>
      <c r="U15" s="35" t="n">
        <v>312</v>
      </c>
      <c r="V15" s="39" t="n">
        <v>23.11</v>
      </c>
      <c r="W15" s="39" t="n">
        <v>23.11</v>
      </c>
      <c r="X15" s="39" t="n">
        <v>23.11</v>
      </c>
      <c r="Y15" s="33" t="n">
        <v>6</v>
      </c>
      <c r="Z15" s="55"/>
      <c r="AA15" s="35" t="n">
        <v>995</v>
      </c>
      <c r="AB15" s="28" t="n">
        <v>7.12</v>
      </c>
      <c r="AC15" s="28" t="n">
        <v>7.12</v>
      </c>
      <c r="AD15" s="28" t="n">
        <v>7.12</v>
      </c>
      <c r="AE15" s="37" t="n">
        <v>6</v>
      </c>
      <c r="AF15" s="38"/>
      <c r="AG15" s="35" t="n">
        <v>423</v>
      </c>
      <c r="AH15" s="77" t="n">
        <v>45673</v>
      </c>
      <c r="AI15" s="77" t="n">
        <v>45673</v>
      </c>
      <c r="AJ15" s="77" t="n">
        <v>45673</v>
      </c>
      <c r="AK15" s="37" t="n">
        <v>6</v>
      </c>
      <c r="AL15" s="40"/>
      <c r="AM15" s="41" t="n">
        <v>45651</v>
      </c>
      <c r="AN15" s="28" t="n">
        <v>6</v>
      </c>
      <c r="AO15" s="75"/>
      <c r="AP15" s="41"/>
      <c r="AQ15" s="42"/>
      <c r="AR15" s="43" t="str">
        <f aca="false">IF(AND(S15&gt;=12,Y15&gt;=12,AN15&gt;=6),"да","нет")</f>
        <v>нет</v>
      </c>
      <c r="AS15" s="2"/>
      <c r="AT15" s="37"/>
      <c r="AU15" s="23" t="n">
        <f aca="false">SUM(S15,Y15,AE15,AK15,AN15,AT15,AS15, AP15)</f>
        <v>30</v>
      </c>
      <c r="AV15" s="29" t="str">
        <f aca="false">IF(AND(AU15&gt;=60, AN15&gt;=6),"Зачет","Незачет")</f>
        <v>Незачет</v>
      </c>
    </row>
    <row r="16" customFormat="false" ht="15.75" hidden="false" customHeight="false" outlineLevel="0" collapsed="false">
      <c r="A16" s="25" t="n">
        <v>14</v>
      </c>
      <c r="B16" s="26" t="s">
        <v>58</v>
      </c>
      <c r="C16" s="27"/>
      <c r="D16" s="27" t="n">
        <v>470401</v>
      </c>
      <c r="E16" s="28" t="s">
        <v>45</v>
      </c>
      <c r="F16" s="28" t="s">
        <v>45</v>
      </c>
      <c r="G16" s="28" t="s">
        <v>45</v>
      </c>
      <c r="H16" s="28" t="s">
        <v>45</v>
      </c>
      <c r="I16" s="28"/>
      <c r="J16" s="28"/>
      <c r="K16" s="28"/>
      <c r="L16" s="28"/>
      <c r="M16" s="29"/>
      <c r="N16" s="29"/>
      <c r="O16" s="29"/>
      <c r="P16" s="30"/>
      <c r="Q16" s="31" t="n">
        <v>90</v>
      </c>
      <c r="R16" s="78" t="n">
        <v>45695</v>
      </c>
      <c r="S16" s="2" t="n">
        <v>6</v>
      </c>
      <c r="U16" s="2" t="n">
        <v>622</v>
      </c>
      <c r="V16" s="36" t="n">
        <v>45699</v>
      </c>
      <c r="W16" s="36" t="n">
        <v>45699</v>
      </c>
      <c r="X16" s="36" t="n">
        <v>45699</v>
      </c>
      <c r="Y16" s="37" t="n">
        <v>6</v>
      </c>
      <c r="Z16" s="55"/>
      <c r="AA16" s="35" t="n">
        <v>542</v>
      </c>
      <c r="AB16" s="36" t="n">
        <v>45712</v>
      </c>
      <c r="AC16" s="36" t="n">
        <v>45712</v>
      </c>
      <c r="AD16" s="36" t="n">
        <v>45712</v>
      </c>
      <c r="AE16" s="37" t="n">
        <v>6</v>
      </c>
      <c r="AF16" s="38"/>
      <c r="AG16" s="35" t="n">
        <v>846</v>
      </c>
      <c r="AH16" s="36" t="n">
        <v>45716</v>
      </c>
      <c r="AI16" s="36" t="n">
        <v>45716</v>
      </c>
      <c r="AJ16" s="36" t="n">
        <v>45716</v>
      </c>
      <c r="AK16" s="37" t="n">
        <v>6</v>
      </c>
      <c r="AL16" s="40"/>
      <c r="AM16" s="41" t="n">
        <v>45717</v>
      </c>
      <c r="AN16" s="28" t="n">
        <v>6</v>
      </c>
      <c r="AO16" s="75"/>
      <c r="AP16" s="41"/>
      <c r="AQ16" s="42"/>
      <c r="AR16" s="43" t="str">
        <f aca="false">IF(AND(S17&gt;=12,Y16&gt;=12,AN16&gt;=6),"да","нет")</f>
        <v>нет</v>
      </c>
      <c r="AS16" s="2"/>
      <c r="AT16" s="2"/>
      <c r="AU16" s="23" t="n">
        <f aca="false">SUM(S17,Y16,AE16,AK16,AN16,AT16,AS16, AP16)</f>
        <v>32</v>
      </c>
      <c r="AV16" s="29" t="str">
        <f aca="false">IF(AND(AU16&gt;=60, AN16&gt;=6),"Зачет","Незачет")</f>
        <v>Незачет</v>
      </c>
    </row>
    <row r="17" customFormat="false" ht="15.75" hidden="false" customHeight="false" outlineLevel="0" collapsed="false">
      <c r="A17" s="25" t="n">
        <v>15</v>
      </c>
      <c r="B17" s="26" t="s">
        <v>59</v>
      </c>
      <c r="C17" s="27"/>
      <c r="D17" s="27" t="n">
        <v>469869</v>
      </c>
      <c r="E17" s="28" t="s">
        <v>45</v>
      </c>
      <c r="F17" s="28" t="s">
        <v>45</v>
      </c>
      <c r="G17" s="28"/>
      <c r="H17" s="28"/>
      <c r="I17" s="28"/>
      <c r="J17" s="28"/>
      <c r="K17" s="28"/>
      <c r="L17" s="28"/>
      <c r="M17" s="29"/>
      <c r="N17" s="29"/>
      <c r="O17" s="29"/>
      <c r="P17" s="30"/>
      <c r="Q17" s="31" t="n">
        <v>91</v>
      </c>
      <c r="R17" s="39" t="n">
        <v>23.11</v>
      </c>
      <c r="S17" s="33" t="n">
        <v>8</v>
      </c>
      <c r="T17" s="34"/>
      <c r="U17" s="35" t="n">
        <v>542</v>
      </c>
      <c r="V17" s="28" t="n">
        <v>25.11</v>
      </c>
      <c r="W17" s="28" t="n">
        <v>25.11</v>
      </c>
      <c r="X17" s="28" t="n">
        <v>25.11</v>
      </c>
      <c r="Y17" s="37" t="n">
        <v>8</v>
      </c>
      <c r="Z17" s="55"/>
      <c r="AA17" s="35" t="n">
        <v>342</v>
      </c>
      <c r="AB17" s="36" t="n">
        <v>45637</v>
      </c>
      <c r="AC17" s="36" t="n">
        <v>45637</v>
      </c>
      <c r="AD17" s="36" t="n">
        <v>45637</v>
      </c>
      <c r="AE17" s="37" t="n">
        <v>8</v>
      </c>
      <c r="AF17" s="38"/>
      <c r="AG17" s="35" t="n">
        <v>987</v>
      </c>
      <c r="AH17" s="77" t="n">
        <v>45673</v>
      </c>
      <c r="AI17" s="77" t="n">
        <v>45673</v>
      </c>
      <c r="AJ17" s="77" t="n">
        <v>45673</v>
      </c>
      <c r="AK17" s="37" t="n">
        <v>8</v>
      </c>
      <c r="AL17" s="44"/>
      <c r="AM17" s="41" t="n">
        <v>45644</v>
      </c>
      <c r="AN17" s="28" t="n">
        <v>8</v>
      </c>
      <c r="AO17" s="76"/>
      <c r="AP17" s="36"/>
      <c r="AQ17" s="42"/>
      <c r="AR17" s="43" t="str">
        <f aca="false">IF(AND(S18&gt;=12,Y17&gt;=12,AN17&gt;=6),"да","нет")</f>
        <v>нет</v>
      </c>
      <c r="AS17" s="2"/>
      <c r="AT17" s="2"/>
      <c r="AU17" s="23" t="n">
        <f aca="false">SUM(S18,Y17,AE17,AK17,AN17,AT17,AS17, AP17)</f>
        <v>32</v>
      </c>
      <c r="AV17" s="29" t="str">
        <f aca="false">IF(AND(AU17&gt;=60, AN17&gt;=6),"Зачет","Незачет")</f>
        <v>Незачет</v>
      </c>
    </row>
    <row r="18" customFormat="false" ht="15.75" hidden="false" customHeight="false" outlineLevel="0" collapsed="false">
      <c r="A18" s="25" t="n">
        <v>16</v>
      </c>
      <c r="B18" s="26" t="s">
        <v>60</v>
      </c>
      <c r="C18" s="27"/>
      <c r="D18" s="27" t="n">
        <v>470075</v>
      </c>
      <c r="E18" s="28"/>
      <c r="F18" s="28"/>
      <c r="G18" s="28"/>
      <c r="H18" s="28"/>
      <c r="I18" s="28"/>
      <c r="J18" s="28"/>
      <c r="K18" s="28"/>
      <c r="L18" s="28"/>
      <c r="M18" s="29"/>
      <c r="N18" s="29"/>
      <c r="O18" s="29"/>
      <c r="P18" s="30"/>
      <c r="Q18" s="31" t="n">
        <v>92</v>
      </c>
      <c r="R18" s="32"/>
      <c r="S18" s="33"/>
      <c r="T18" s="34"/>
      <c r="U18" s="35"/>
      <c r="V18" s="36"/>
      <c r="W18" s="36"/>
      <c r="X18" s="36"/>
      <c r="Y18" s="37"/>
      <c r="Z18" s="55"/>
      <c r="AA18" s="35"/>
      <c r="AB18" s="36"/>
      <c r="AC18" s="36"/>
      <c r="AD18" s="36"/>
      <c r="AE18" s="37"/>
      <c r="AF18" s="38"/>
      <c r="AG18" s="35"/>
      <c r="AH18" s="36"/>
      <c r="AI18" s="36"/>
      <c r="AJ18" s="36"/>
      <c r="AK18" s="37"/>
      <c r="AL18" s="40"/>
      <c r="AM18" s="41" t="n">
        <v>45678</v>
      </c>
      <c r="AN18" s="28" t="n">
        <v>6</v>
      </c>
      <c r="AO18" s="75"/>
      <c r="AP18" s="41"/>
      <c r="AQ18" s="42"/>
      <c r="AR18" s="43" t="str">
        <f aca="false">IF(AND(S19&gt;=12,Y18&gt;=12,AN18&gt;=6),"да","нет")</f>
        <v>нет</v>
      </c>
      <c r="AS18" s="2"/>
      <c r="AT18" s="2"/>
      <c r="AU18" s="23" t="n">
        <f aca="false">SUM(S19,Y18,AE18,AK18,AN18,AT18,AS18, AP18)</f>
        <v>6</v>
      </c>
      <c r="AV18" s="29" t="str">
        <f aca="false">IF(AND(AU18&gt;=60, AN18&gt;=6),"Зачет","Незачет")</f>
        <v>Незачет</v>
      </c>
    </row>
    <row r="19" customFormat="false" ht="15.75" hidden="false" customHeight="false" outlineLevel="0" collapsed="false">
      <c r="A19" s="25" t="n">
        <v>17</v>
      </c>
      <c r="B19" s="2" t="s">
        <v>61</v>
      </c>
      <c r="C19" s="27"/>
      <c r="D19" s="27" t="n">
        <v>410774</v>
      </c>
      <c r="E19" s="28" t="s">
        <v>45</v>
      </c>
      <c r="F19" s="28" t="s">
        <v>45</v>
      </c>
      <c r="G19" s="28" t="s">
        <v>45</v>
      </c>
      <c r="H19" s="28"/>
      <c r="I19" s="28"/>
      <c r="J19" s="28"/>
      <c r="K19" s="28"/>
      <c r="L19" s="28"/>
      <c r="M19" s="29"/>
      <c r="N19" s="29"/>
      <c r="O19" s="29"/>
      <c r="P19" s="30"/>
      <c r="Q19" s="31"/>
      <c r="R19" s="32"/>
      <c r="S19" s="33"/>
      <c r="T19" s="34"/>
      <c r="U19" s="35" t="n">
        <v>981</v>
      </c>
      <c r="V19" s="28" t="n">
        <v>5.12</v>
      </c>
      <c r="W19" s="28" t="n">
        <v>5.12</v>
      </c>
      <c r="X19" s="28" t="n">
        <v>5.12</v>
      </c>
      <c r="Y19" s="37" t="n">
        <v>6</v>
      </c>
      <c r="Z19" s="55"/>
      <c r="AA19" s="2" t="n">
        <v>111</v>
      </c>
      <c r="AB19" s="36" t="n">
        <v>45673</v>
      </c>
      <c r="AC19" s="36" t="n">
        <v>45673</v>
      </c>
      <c r="AD19" s="36" t="n">
        <v>45673</v>
      </c>
      <c r="AE19" s="37" t="n">
        <v>6</v>
      </c>
      <c r="AF19" s="38"/>
      <c r="AG19" s="35" t="n">
        <v>566</v>
      </c>
      <c r="AH19" s="36" t="n">
        <v>45702</v>
      </c>
      <c r="AI19" s="36" t="n">
        <v>45702</v>
      </c>
      <c r="AJ19" s="36" t="n">
        <v>45702</v>
      </c>
      <c r="AK19" s="37" t="n">
        <v>6</v>
      </c>
      <c r="AL19" s="40"/>
      <c r="AM19" s="41" t="n">
        <v>45678</v>
      </c>
      <c r="AN19" s="28" t="n">
        <v>6</v>
      </c>
      <c r="AO19" s="75"/>
      <c r="AP19" s="41"/>
      <c r="AQ19" s="42"/>
      <c r="AR19" s="43" t="str">
        <f aca="false">IF(AND(S19&gt;=12,Y19&gt;=12,AN19&gt;=6),"да","нет")</f>
        <v>нет</v>
      </c>
      <c r="AS19" s="2"/>
      <c r="AT19" s="2"/>
      <c r="AU19" s="23" t="n">
        <f aca="false">SUM(S19,Y19,AE19,AK19,AN19,AT19,AS19, AP19)</f>
        <v>24</v>
      </c>
      <c r="AV19" s="29" t="str">
        <f aca="false">IF(AND(AU19&gt;=60, AN19&gt;=6),"Зачет","Незачет")</f>
        <v>Незачет</v>
      </c>
    </row>
    <row r="20" customFormat="false" ht="15.75" hidden="false" customHeight="false" outlineLevel="0" collapsed="false">
      <c r="A20" s="25" t="n">
        <v>18</v>
      </c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9"/>
      <c r="N20" s="29"/>
      <c r="O20" s="29"/>
      <c r="P20" s="30"/>
      <c r="Q20" s="46"/>
      <c r="R20" s="36"/>
      <c r="S20" s="37"/>
      <c r="T20" s="47"/>
      <c r="U20" s="2"/>
      <c r="V20" s="36"/>
      <c r="W20" s="36"/>
      <c r="X20" s="36"/>
      <c r="Y20" s="37"/>
      <c r="Z20" s="55"/>
      <c r="AA20" s="2"/>
      <c r="AB20" s="36"/>
      <c r="AC20" s="36"/>
      <c r="AD20" s="36"/>
      <c r="AE20" s="37"/>
      <c r="AF20" s="38"/>
      <c r="AG20" s="2"/>
      <c r="AH20" s="36"/>
      <c r="AI20" s="36"/>
      <c r="AJ20" s="36"/>
      <c r="AK20" s="37"/>
      <c r="AL20" s="48"/>
      <c r="AM20" s="28"/>
      <c r="AN20" s="28"/>
      <c r="AO20" s="30"/>
      <c r="AP20" s="28"/>
      <c r="AQ20" s="42"/>
      <c r="AR20" s="43" t="str">
        <f aca="false">IF(AND(S20&gt;=12,Y20&gt;=12,AN20&gt;=6),"да","нет")</f>
        <v>нет</v>
      </c>
      <c r="AS20" s="2"/>
      <c r="AT20" s="2"/>
      <c r="AU20" s="23" t="n">
        <f aca="false">SUM(S20,Y20,AE20,AK20,AN20,AT20,AS20, AP20)</f>
        <v>0</v>
      </c>
      <c r="AV20" s="29" t="str">
        <f aca="false">IF(AND(AU20&gt;=60, AN20&gt;=6),"Зачет","Незачет")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55"/>
      <c r="AA21" s="2"/>
      <c r="AB21" s="36"/>
      <c r="AC21" s="36"/>
      <c r="AD21" s="36"/>
      <c r="AE21" s="37"/>
      <c r="AF21" s="38"/>
      <c r="AG21" s="2"/>
      <c r="AH21" s="36"/>
      <c r="AI21" s="36"/>
      <c r="AJ21" s="36"/>
      <c r="AK21" s="37"/>
      <c r="AL21" s="48"/>
      <c r="AM21" s="28"/>
      <c r="AN21" s="28"/>
      <c r="AO21" s="30"/>
      <c r="AP21" s="28"/>
      <c r="AQ21" s="42"/>
      <c r="AR21" s="43" t="str">
        <f aca="false">IF(AND(S21&gt;=12,Y21&gt;=12,AN21&gt;=6),"да","нет")</f>
        <v>нет</v>
      </c>
      <c r="AS21" s="2"/>
      <c r="AT21" s="2"/>
      <c r="AU21" s="23" t="n">
        <f aca="false">SUM(S21,Y21,AE21,AK21,AN21,AT21,AS21, AP21)</f>
        <v>0</v>
      </c>
      <c r="AV21" s="29" t="str">
        <f aca="false">IF(AND(AU21&gt;=60, AN21&gt;=6),"Зачет","Незачет")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55"/>
      <c r="AA22" s="2"/>
      <c r="AB22" s="36"/>
      <c r="AC22" s="36"/>
      <c r="AD22" s="36"/>
      <c r="AE22" s="37"/>
      <c r="AF22" s="38"/>
      <c r="AG22" s="2"/>
      <c r="AH22" s="36"/>
      <c r="AI22" s="36"/>
      <c r="AJ22" s="36"/>
      <c r="AK22" s="37"/>
      <c r="AL22" s="48"/>
      <c r="AM22" s="28"/>
      <c r="AN22" s="28"/>
      <c r="AO22" s="30"/>
      <c r="AP22" s="28"/>
      <c r="AQ22" s="42"/>
      <c r="AR22" s="43" t="str">
        <f aca="false">IF(AND(S22&gt;=12,Y22&gt;=12,AN22&gt;=6),"да","нет")</f>
        <v>нет</v>
      </c>
      <c r="AS22" s="2"/>
      <c r="AT22" s="2"/>
      <c r="AU22" s="23" t="n">
        <f aca="false">SUM(S22,Y22,AE22,AK22,AN22,AT22,AS22, AP22)</f>
        <v>0</v>
      </c>
      <c r="AV22" s="29" t="str">
        <f aca="false">IF(AND(AU22&gt;=60, AN22&gt;=6),"Зачет","Незачет")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79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55"/>
      <c r="AA23" s="2"/>
      <c r="AB23" s="36"/>
      <c r="AC23" s="36"/>
      <c r="AD23" s="36"/>
      <c r="AE23" s="37"/>
      <c r="AF23" s="38"/>
      <c r="AG23" s="2"/>
      <c r="AH23" s="36"/>
      <c r="AI23" s="36"/>
      <c r="AJ23" s="36"/>
      <c r="AK23" s="37"/>
      <c r="AL23" s="48"/>
      <c r="AM23" s="28"/>
      <c r="AN23" s="28"/>
      <c r="AO23" s="30"/>
      <c r="AP23" s="28"/>
      <c r="AQ23" s="42"/>
      <c r="AR23" s="43"/>
      <c r="AS23" s="2"/>
      <c r="AT23" s="2"/>
      <c r="AU23" s="23"/>
      <c r="AV23" s="52"/>
    </row>
    <row r="24" customFormat="false" ht="1.5" hidden="false" customHeight="true" outlineLevel="0" collapsed="false">
      <c r="A24" s="47"/>
      <c r="B24" s="47"/>
      <c r="C24" s="47"/>
      <c r="D24" s="30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53"/>
      <c r="AR24" s="47"/>
      <c r="AS24" s="47"/>
      <c r="AT24" s="47"/>
      <c r="AU24" s="47"/>
      <c r="AV24" s="47"/>
    </row>
    <row r="25" customFormat="false" ht="15.75" hidden="false" customHeight="false" outlineLevel="0" collapsed="false">
      <c r="A25" s="2"/>
      <c r="B25" s="2" t="s">
        <v>26</v>
      </c>
      <c r="C25" s="2"/>
      <c r="D25" s="28"/>
      <c r="E25" s="37" t="n">
        <f aca="false">COUNTIF(E$3:E$23, "~**")</f>
        <v>0</v>
      </c>
      <c r="F25" s="37" t="n">
        <f aca="false">COUNTIF(F$3:F$23, "~**")</f>
        <v>0</v>
      </c>
      <c r="G25" s="37" t="n">
        <f aca="false">COUNTIF(G$3:G$23, "~**")</f>
        <v>0</v>
      </c>
      <c r="H25" s="37" t="n">
        <f aca="false">COUNTIF(H$3:H$23, "~**")</f>
        <v>0</v>
      </c>
      <c r="I25" s="37" t="n">
        <f aca="false">COUNTIF(I$3:I$23, "~**")</f>
        <v>0</v>
      </c>
      <c r="J25" s="37" t="n">
        <f aca="false">COUNTIF(J$3:J$23, "~**")</f>
        <v>0</v>
      </c>
      <c r="K25" s="37" t="n">
        <f aca="false">COUNTIF(K$3:K$23, "~**")</f>
        <v>0</v>
      </c>
      <c r="L25" s="37" t="n">
        <f aca="false">COUNTIF(L$3:L$23, "~**")</f>
        <v>0</v>
      </c>
      <c r="M25" s="54" t="n">
        <f aca="false">COUNTIF(M$3:M$23, "~**")</f>
        <v>0</v>
      </c>
      <c r="N25" s="54" t="n">
        <f aca="false">COUNTIF(N$3:N$23, "~**")</f>
        <v>0</v>
      </c>
      <c r="O25" s="54" t="n">
        <f aca="false">COUNTIF(O$3:O$23, "~**")</f>
        <v>0</v>
      </c>
      <c r="P25" s="55"/>
      <c r="Q25" s="2" t="s">
        <v>27</v>
      </c>
      <c r="R25" s="2"/>
      <c r="S25" s="37" t="n">
        <v>6</v>
      </c>
      <c r="T25" s="55"/>
      <c r="U25" s="37"/>
      <c r="V25" s="37"/>
      <c r="W25" s="37"/>
      <c r="X25" s="37"/>
      <c r="Y25" s="37" t="n">
        <v>6</v>
      </c>
      <c r="Z25" s="55"/>
      <c r="AA25" s="37"/>
      <c r="AB25" s="37"/>
      <c r="AC25" s="37"/>
      <c r="AD25" s="37"/>
      <c r="AE25" s="37" t="n">
        <v>6</v>
      </c>
      <c r="AF25" s="56"/>
      <c r="AG25" s="37"/>
      <c r="AH25" s="37"/>
      <c r="AI25" s="37"/>
      <c r="AJ25" s="37"/>
      <c r="AK25" s="37" t="n">
        <v>6</v>
      </c>
      <c r="AL25" s="57"/>
      <c r="AN25" s="2" t="n">
        <v>6</v>
      </c>
      <c r="AO25" s="47"/>
      <c r="AP25" s="2" t="n">
        <v>6</v>
      </c>
      <c r="AQ25" s="58"/>
      <c r="AR25" s="59"/>
      <c r="AS25" s="37" t="n">
        <v>0</v>
      </c>
      <c r="AT25" s="37" t="n">
        <v>24</v>
      </c>
      <c r="AU25" s="19" t="n">
        <f aca="false">S25+Y25+AE25+AK25+AN25+AT25+AP25</f>
        <v>60</v>
      </c>
      <c r="AV25" s="60"/>
    </row>
    <row r="26" customFormat="false" ht="15.75" hidden="false" customHeight="false" outlineLevel="0" collapsed="false">
      <c r="A26" s="2"/>
      <c r="B26" s="2" t="s">
        <v>28</v>
      </c>
      <c r="C26" s="2"/>
      <c r="D26" s="28"/>
      <c r="E26" s="37" t="n">
        <f aca="false">COUNTIF(E$3:E$23, "~**")+COUNTIF(E$3:E$23, "Y")</f>
        <v>11</v>
      </c>
      <c r="F26" s="37" t="n">
        <f aca="false">COUNTIF(F$3:F$23, "~**")+COUNTIF(F$3:F$23, "Y")</f>
        <v>11</v>
      </c>
      <c r="G26" s="37" t="n">
        <f aca="false">COUNTIF(G$3:G$23, "~**")+COUNTIF(G$3:G$23, "Y")</f>
        <v>10</v>
      </c>
      <c r="H26" s="37" t="n">
        <f aca="false">COUNTIF(H$3:H$23, "~**")+COUNTIF(H$3:H$23, "Y")</f>
        <v>4</v>
      </c>
      <c r="I26" s="37" t="n">
        <f aca="false">COUNTIF(I$3:I$23, "~**")+COUNTIF(I$3:I$23, "Y")</f>
        <v>0</v>
      </c>
      <c r="J26" s="37" t="n">
        <f aca="false">COUNTIF(J$3:J$23, "~**")+COUNTIF(J$3:J$23, "Y")</f>
        <v>0</v>
      </c>
      <c r="K26" s="37" t="n">
        <f aca="false">COUNTIF(K$3:K$23, "~**")+COUNTIF(K$3:K$23, "Y")</f>
        <v>0</v>
      </c>
      <c r="L26" s="37" t="n">
        <f aca="false">COUNTIF(L$3:L$23, "~**")+COUNTIF(L$3:L$23, "Y")</f>
        <v>0</v>
      </c>
      <c r="M26" s="54" t="n">
        <f aca="false">COUNTIF(M$3:M$23, "~**")+COUNTIF(M$3:M$23, "Y")</f>
        <v>0</v>
      </c>
      <c r="N26" s="54" t="n">
        <f aca="false">COUNTIF(N$3:N$23, "~**")+COUNTIF(N$3:N$23, "Y")</f>
        <v>0</v>
      </c>
      <c r="O26" s="54" t="n">
        <f aca="false">COUNTIF(O$3:O$23, "~**")+COUNTIF(O$3:O$23, "Y")</f>
        <v>0</v>
      </c>
      <c r="P26" s="55"/>
      <c r="Q26" s="2" t="s">
        <v>29</v>
      </c>
      <c r="R26" s="2"/>
      <c r="S26" s="37" t="n">
        <v>10</v>
      </c>
      <c r="T26" s="55"/>
      <c r="U26" s="37"/>
      <c r="V26" s="37"/>
      <c r="W26" s="37"/>
      <c r="X26" s="37"/>
      <c r="Y26" s="37" t="n">
        <v>10</v>
      </c>
      <c r="Z26" s="55"/>
      <c r="AA26" s="37"/>
      <c r="AB26" s="37"/>
      <c r="AC26" s="37"/>
      <c r="AD26" s="37"/>
      <c r="AE26" s="37" t="n">
        <v>10</v>
      </c>
      <c r="AF26" s="56"/>
      <c r="AG26" s="37"/>
      <c r="AH26" s="37"/>
      <c r="AI26" s="37"/>
      <c r="AJ26" s="37"/>
      <c r="AK26" s="37" t="n">
        <v>10</v>
      </c>
      <c r="AL26" s="57"/>
      <c r="AN26" s="2" t="n">
        <v>10</v>
      </c>
      <c r="AO26" s="47"/>
      <c r="AP26" s="2" t="n">
        <v>10</v>
      </c>
      <c r="AQ26" s="58"/>
      <c r="AR26" s="59"/>
      <c r="AS26" s="37" t="n">
        <v>3</v>
      </c>
      <c r="AT26" s="37" t="n">
        <v>40</v>
      </c>
      <c r="AU26" s="19" t="n">
        <f aca="false">S26+Y26+AE26+AK26+AN26+AT26+AP26</f>
        <v>100</v>
      </c>
      <c r="AV26" s="60"/>
    </row>
    <row r="27" customFormat="false" ht="15.75" hidden="false" customHeight="false" outlineLevel="0" collapsed="false">
      <c r="A27" s="2"/>
      <c r="B27" s="2"/>
      <c r="C27" s="2"/>
      <c r="D27" s="2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2"/>
      <c r="AA27" s="61"/>
      <c r="AB27" s="61"/>
      <c r="AC27" s="61"/>
      <c r="AD27" s="61"/>
      <c r="AE27" s="61"/>
      <c r="AF27" s="63"/>
      <c r="AG27" s="61"/>
      <c r="AH27" s="61"/>
      <c r="AI27" s="61"/>
      <c r="AJ27" s="61"/>
      <c r="AK27" s="61"/>
      <c r="AL27" s="57"/>
      <c r="AO27" s="68"/>
      <c r="AQ27" s="64"/>
      <c r="AR27" s="65"/>
      <c r="AS27" s="2"/>
      <c r="AT27" s="2"/>
      <c r="AU27" s="66"/>
      <c r="AV27" s="2"/>
    </row>
    <row r="28" customFormat="false" ht="15.75" hidden="false" customHeight="false" outlineLevel="0" collapsed="false">
      <c r="A28" s="2"/>
      <c r="B28" s="2"/>
      <c r="C28" s="2"/>
      <c r="D28" s="28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0.5882352941</v>
      </c>
      <c r="T28" s="62"/>
      <c r="U28" s="61"/>
      <c r="V28" s="61"/>
      <c r="W28" s="61"/>
      <c r="X28" s="61"/>
      <c r="Y28" s="61" t="n">
        <f aca="false">IFERROR(COUNTA(Y$3:Y23)/COUNTA($B$3:$B$23), 0)</f>
        <v>0.6470588235</v>
      </c>
      <c r="Z28" s="62"/>
      <c r="AA28" s="61"/>
      <c r="AB28" s="61"/>
      <c r="AC28" s="61"/>
      <c r="AD28" s="61"/>
      <c r="AE28" s="61" t="n">
        <f aca="false">IFERROR(COUNTA(AE$3:AE23)/COUNTA($B$3:$B$23), 0)</f>
        <v>0.6470588235</v>
      </c>
      <c r="AF28" s="63"/>
      <c r="AG28" s="61"/>
      <c r="AH28" s="61"/>
      <c r="AI28" s="61"/>
      <c r="AJ28" s="61"/>
      <c r="AK28" s="61" t="n">
        <f aca="false">IFERROR(COUNTA(AK$3:AK23)/COUNTA($B$3:$B$23), 0)</f>
        <v>0.5882352941</v>
      </c>
      <c r="AL28" s="57"/>
      <c r="AN28" s="61" t="n">
        <f aca="false">IFERROR(COUNTIF(AN$3:AN23, "&gt;0")/COUNTA($B$3:$B$22), 0)</f>
        <v>0.7647058824</v>
      </c>
      <c r="AO28" s="62"/>
      <c r="AP28" s="61" t="n">
        <f aca="false">IFERROR(COUNTIF(AP$3:AP23, "&gt;0")/COUNTA($B$3:$B$22), 0)</f>
        <v>0</v>
      </c>
      <c r="AQ28" s="64"/>
      <c r="AR28" s="65"/>
      <c r="AS28" s="2"/>
      <c r="AT28" s="61" t="n">
        <f aca="false">IFERROR(COUNTIF(AT$3:AT23, "&gt;24")/COUNTA($B$3:$B$22), 0)</f>
        <v>0</v>
      </c>
      <c r="AU28" s="66"/>
      <c r="AV28" s="2"/>
    </row>
    <row r="29" customFormat="false" ht="15.75" hidden="false" customHeight="false" outlineLevel="0" collapsed="false">
      <c r="A29" s="2"/>
      <c r="B29" s="2"/>
      <c r="C29" s="2"/>
      <c r="D29" s="28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47"/>
      <c r="AA29" s="2"/>
      <c r="AB29" s="2"/>
      <c r="AC29" s="2"/>
      <c r="AD29" s="2"/>
      <c r="AE29" s="2"/>
      <c r="AF29" s="63"/>
      <c r="AG29" s="2"/>
      <c r="AH29" s="2"/>
      <c r="AI29" s="2"/>
      <c r="AJ29" s="2"/>
      <c r="AK29" s="2"/>
      <c r="AL29" s="63"/>
      <c r="AM29" s="2"/>
      <c r="AN29" s="2"/>
      <c r="AO29" s="47"/>
      <c r="AP29" s="2"/>
      <c r="AQ29" s="64"/>
      <c r="AR29" s="65"/>
      <c r="AS29" s="2"/>
      <c r="AT29" s="2"/>
      <c r="AU29" s="66"/>
      <c r="AV29" s="2"/>
    </row>
    <row r="30" customFormat="false" ht="15.75" hidden="false" customHeight="false" outlineLevel="0" collapsed="false">
      <c r="A30" s="67"/>
      <c r="B30" s="67"/>
      <c r="C30" s="2"/>
      <c r="D30" s="28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47"/>
      <c r="AA30" s="2"/>
      <c r="AB30" s="2"/>
      <c r="AC30" s="2"/>
      <c r="AD30" s="2"/>
      <c r="AE30" s="2"/>
      <c r="AF30" s="63"/>
      <c r="AG30" s="2"/>
      <c r="AH30" s="2"/>
      <c r="AI30" s="2"/>
      <c r="AJ30" s="2"/>
      <c r="AK30" s="2"/>
      <c r="AL30" s="63"/>
      <c r="AM30" s="2"/>
      <c r="AN30" s="2"/>
      <c r="AO30" s="47"/>
      <c r="AP30" s="2"/>
      <c r="AQ30" s="64"/>
      <c r="AR30" s="65"/>
      <c r="AS30" s="2"/>
      <c r="AT30" s="2"/>
      <c r="AU30" s="66"/>
      <c r="AV30" s="2"/>
    </row>
    <row r="31" customFormat="false" ht="15.75" hidden="false" customHeight="false" outlineLevel="0" collapsed="false">
      <c r="D31" s="28"/>
      <c r="E31" s="2" t="s">
        <v>35</v>
      </c>
      <c r="P31" s="68"/>
      <c r="T31" s="68"/>
      <c r="Z31" s="68"/>
      <c r="AF31" s="57"/>
      <c r="AL31" s="57"/>
      <c r="AO31" s="68"/>
      <c r="AQ31" s="69"/>
      <c r="AR31" s="70"/>
      <c r="AU31" s="71"/>
    </row>
    <row r="32" customFormat="false" ht="15.75" hidden="false" customHeight="false" outlineLevel="0" collapsed="false">
      <c r="D32" s="28"/>
      <c r="E32" s="2" t="s">
        <v>36</v>
      </c>
      <c r="P32" s="68"/>
      <c r="T32" s="68"/>
      <c r="Z32" s="68"/>
      <c r="AF32" s="57"/>
      <c r="AL32" s="57"/>
      <c r="AO32" s="68"/>
      <c r="AQ32" s="69"/>
      <c r="AR32" s="70"/>
      <c r="AU32" s="71"/>
    </row>
    <row r="33" customFormat="false" ht="15.75" hidden="false" customHeight="false" outlineLevel="0" collapsed="false">
      <c r="D33" s="28"/>
      <c r="P33" s="68"/>
      <c r="T33" s="68"/>
      <c r="Z33" s="68"/>
      <c r="AF33" s="57"/>
      <c r="AL33" s="57"/>
      <c r="AO33" s="68"/>
      <c r="AQ33" s="69"/>
      <c r="AR33" s="70"/>
      <c r="AU33" s="71"/>
    </row>
  </sheetData>
  <mergeCells count="11">
    <mergeCell ref="A1:A2"/>
    <mergeCell ref="E1:O1"/>
    <mergeCell ref="Q1:S1"/>
    <mergeCell ref="U1:Y1"/>
    <mergeCell ref="AA1:AE1"/>
    <mergeCell ref="AG1:AK1"/>
    <mergeCell ref="AM1:AN1"/>
    <mergeCell ref="AR1:AR2"/>
    <mergeCell ref="AS1:AS2"/>
    <mergeCell ref="AT1:AT2"/>
    <mergeCell ref="AU1:AV1"/>
  </mergeCells>
  <conditionalFormatting sqref="AQ3:AR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V3:AV23">
    <cfRule type="beginsWith" priority="4" operator="beginsWith" aboveAverage="0" equalAverage="0" bottom="0" percent="0" rank="0" text="зачет" dxfId="2">
      <formula>LEFT(AV3,LEN("зачет"))="зачет"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R3:R23 V3 AB3 AH3 V15:X15">
    <cfRule type="expression" priority="6" aboveAverage="0" equalAverage="0" bottom="0" percent="0" rank="0" text="" dxfId="5">
      <formula>R3&gt;45230</formula>
    </cfRule>
  </conditionalFormatting>
  <conditionalFormatting sqref="V3:X23 AB3:AD23 AH3:AJ23 AL3:AP23">
    <cfRule type="expression" priority="7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00FF"/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9.38"/>
    <col collapsed="false" customWidth="true" hidden="false" outlineLevel="0" max="19" min="19" style="0" width="5.25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5.13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5.13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38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16" t="n">
        <v>18.09</v>
      </c>
      <c r="F2" s="15" t="n">
        <f aca="false">E2+14</f>
        <v>32.09</v>
      </c>
      <c r="G2" s="15" t="n">
        <f aca="false">F2+14</f>
        <v>46.09</v>
      </c>
      <c r="H2" s="15" t="n">
        <f aca="false">G2+14</f>
        <v>60.09</v>
      </c>
      <c r="I2" s="15" t="n">
        <f aca="false">H2+14</f>
        <v>74.09</v>
      </c>
      <c r="J2" s="15" t="n">
        <f aca="false">I2+14</f>
        <v>88.09</v>
      </c>
      <c r="K2" s="15" t="n">
        <f aca="false">J2+14</f>
        <v>102.09</v>
      </c>
      <c r="L2" s="15" t="n">
        <f aca="false">K2+14</f>
        <v>116.09</v>
      </c>
      <c r="M2" s="16" t="n">
        <v>45673</v>
      </c>
      <c r="N2" s="17" t="n">
        <v>45678</v>
      </c>
      <c r="O2" s="17" t="n">
        <v>46012</v>
      </c>
      <c r="P2" s="18"/>
      <c r="Q2" s="19" t="s">
        <v>17</v>
      </c>
      <c r="R2" s="20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150</v>
      </c>
      <c r="C3" s="27" t="s">
        <v>151</v>
      </c>
      <c r="D3" s="27" t="n">
        <v>471835</v>
      </c>
      <c r="E3" s="28" t="s">
        <v>45</v>
      </c>
      <c r="F3" s="28" t="s">
        <v>45</v>
      </c>
      <c r="G3" s="28" t="s">
        <v>519</v>
      </c>
      <c r="H3" s="28" t="s">
        <v>45</v>
      </c>
      <c r="I3" s="28" t="s">
        <v>522</v>
      </c>
      <c r="J3" s="28" t="s">
        <v>45</v>
      </c>
      <c r="K3" s="28" t="s">
        <v>45</v>
      </c>
      <c r="L3" s="28" t="s">
        <v>518</v>
      </c>
      <c r="M3" s="29" t="s">
        <v>519</v>
      </c>
      <c r="N3" s="29" t="s">
        <v>525</v>
      </c>
      <c r="O3" s="29" t="s">
        <v>518</v>
      </c>
      <c r="P3" s="30"/>
      <c r="Q3" s="31" t="n">
        <v>310</v>
      </c>
      <c r="R3" s="39" t="s">
        <v>545</v>
      </c>
      <c r="S3" s="159" t="n">
        <v>18</v>
      </c>
      <c r="T3" s="34"/>
      <c r="U3" s="35" t="n">
        <v>986</v>
      </c>
      <c r="V3" s="36" t="n">
        <v>45678</v>
      </c>
      <c r="W3" s="36" t="n">
        <v>45678</v>
      </c>
      <c r="X3" s="36" t="n">
        <v>45678</v>
      </c>
      <c r="Y3" s="160" t="n">
        <v>16.5</v>
      </c>
      <c r="Z3" s="38"/>
      <c r="AA3" s="39"/>
      <c r="AB3" s="39"/>
      <c r="AC3" s="40"/>
      <c r="AD3" s="41" t="n">
        <v>46016</v>
      </c>
      <c r="AE3" s="28" t="n">
        <v>3</v>
      </c>
      <c r="AF3" s="41" t="n">
        <v>46016</v>
      </c>
      <c r="AG3" s="161" t="n">
        <v>3</v>
      </c>
      <c r="AH3" s="109" t="n">
        <f aca="false">SUM(AE3,AG3)</f>
        <v>6</v>
      </c>
      <c r="AI3" s="42"/>
      <c r="AJ3" s="43" t="str">
        <f aca="false">IF(AND(S3&gt;=12,Y3&gt;=12,AH3&gt;=6),"да","нет")</f>
        <v>да</v>
      </c>
      <c r="AK3" s="2"/>
      <c r="AL3" s="2" t="n">
        <v>24</v>
      </c>
      <c r="AM3" s="23" t="n">
        <f aca="false">SUM(S3,Y3,AA3,AB3,AH3,AL3,AK3)</f>
        <v>64.5</v>
      </c>
      <c r="AN3" s="29" t="str">
        <f aca="false">IF(AND(S3&gt;=12,Y3&gt;=12,AH3&gt;=6,AL3&gt;=24,AM3&gt;=60),"Зачет","Незачет")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184</v>
      </c>
      <c r="C4" s="27" t="s">
        <v>151</v>
      </c>
      <c r="D4" s="27" t="n">
        <v>474277</v>
      </c>
      <c r="E4" s="28" t="s">
        <v>45</v>
      </c>
      <c r="F4" s="28" t="s">
        <v>519</v>
      </c>
      <c r="G4" s="28" t="s">
        <v>522</v>
      </c>
      <c r="H4" s="28" t="s">
        <v>519</v>
      </c>
      <c r="I4" s="28" t="s">
        <v>45</v>
      </c>
      <c r="J4" s="28" t="s">
        <v>519</v>
      </c>
      <c r="K4" s="28" t="s">
        <v>525</v>
      </c>
      <c r="L4" s="28" t="s">
        <v>518</v>
      </c>
      <c r="M4" s="29" t="s">
        <v>518</v>
      </c>
      <c r="N4" s="29" t="s">
        <v>45</v>
      </c>
      <c r="O4" s="29" t="s">
        <v>518</v>
      </c>
      <c r="P4" s="30"/>
      <c r="Q4" s="31" t="n">
        <v>311</v>
      </c>
      <c r="R4" s="39" t="s">
        <v>548</v>
      </c>
      <c r="S4" s="159" t="n">
        <v>18</v>
      </c>
      <c r="T4" s="34"/>
      <c r="U4" s="35" t="n">
        <v>312</v>
      </c>
      <c r="V4" s="41" t="n">
        <v>46002</v>
      </c>
      <c r="W4" s="41" t="n">
        <v>46002</v>
      </c>
      <c r="X4" s="41" t="n">
        <v>46002</v>
      </c>
      <c r="Y4" s="160" t="n">
        <v>17.5</v>
      </c>
      <c r="Z4" s="38"/>
      <c r="AA4" s="39"/>
      <c r="AB4" s="39"/>
      <c r="AC4" s="40"/>
      <c r="AD4" s="41" t="n">
        <v>45678</v>
      </c>
      <c r="AE4" s="28" t="n">
        <v>3</v>
      </c>
      <c r="AF4" s="41" t="n">
        <v>45678</v>
      </c>
      <c r="AG4" s="161" t="n">
        <v>3</v>
      </c>
      <c r="AH4" s="109" t="n">
        <f aca="false">SUM(AE4,AG4)</f>
        <v>6</v>
      </c>
      <c r="AI4" s="42"/>
      <c r="AJ4" s="43" t="str">
        <f aca="false">IF(AND(S4&gt;=12,Y4&gt;=12,AH4&gt;=6),"да","нет")</f>
        <v>да</v>
      </c>
      <c r="AK4" s="2"/>
      <c r="AL4" s="2" t="n">
        <v>30</v>
      </c>
      <c r="AM4" s="23" t="n">
        <f aca="false">SUM(S4,Y4,AA4,AB4,AH4,AL4,AK4)</f>
        <v>71.5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190</v>
      </c>
      <c r="C5" s="27" t="s">
        <v>151</v>
      </c>
      <c r="D5" s="27" t="n">
        <v>414549</v>
      </c>
      <c r="E5" s="28" t="s">
        <v>45</v>
      </c>
      <c r="F5" s="28" t="s">
        <v>45</v>
      </c>
      <c r="G5" s="28" t="s">
        <v>522</v>
      </c>
      <c r="H5" s="28" t="s">
        <v>519</v>
      </c>
      <c r="I5" s="28" t="s">
        <v>522</v>
      </c>
      <c r="J5" s="28" t="s">
        <v>519</v>
      </c>
      <c r="K5" s="28" t="s">
        <v>522</v>
      </c>
      <c r="L5" s="28" t="s">
        <v>45</v>
      </c>
      <c r="M5" s="29" t="s">
        <v>519</v>
      </c>
      <c r="N5" s="29" t="s">
        <v>519</v>
      </c>
      <c r="O5" s="29" t="s">
        <v>518</v>
      </c>
      <c r="P5" s="30"/>
      <c r="Q5" s="31" t="n">
        <v>312</v>
      </c>
      <c r="R5" s="39" t="s">
        <v>548</v>
      </c>
      <c r="S5" s="159" t="n">
        <v>18.5</v>
      </c>
      <c r="T5" s="34"/>
      <c r="U5" s="35" t="n">
        <v>114</v>
      </c>
      <c r="V5" s="41" t="n">
        <v>46002</v>
      </c>
      <c r="W5" s="41" t="n">
        <v>46002</v>
      </c>
      <c r="X5" s="36" t="n">
        <v>45678</v>
      </c>
      <c r="Y5" s="160" t="n">
        <v>14</v>
      </c>
      <c r="Z5" s="38"/>
      <c r="AA5" s="39"/>
      <c r="AB5" s="39"/>
      <c r="AC5" s="44"/>
      <c r="AD5" s="36" t="n">
        <v>46016</v>
      </c>
      <c r="AE5" s="28" t="n">
        <v>3.5</v>
      </c>
      <c r="AF5" s="36" t="n">
        <v>46016</v>
      </c>
      <c r="AG5" s="161" t="n">
        <v>3.5</v>
      </c>
      <c r="AH5" s="109" t="n">
        <f aca="false">SUM(AE5,AG5)</f>
        <v>7</v>
      </c>
      <c r="AI5" s="42"/>
      <c r="AJ5" s="43" t="str">
        <f aca="false">IF(AND(S5&gt;=12,Y5&gt;=12,AH5&gt;=6),"да","нет")</f>
        <v>да</v>
      </c>
      <c r="AK5" s="2"/>
      <c r="AL5" s="2" t="n">
        <v>24</v>
      </c>
      <c r="AM5" s="23" t="n">
        <f aca="false">SUM(S5,Y5,AA5,AB5,AH5,AL5,AK5)</f>
        <v>63.5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226</v>
      </c>
      <c r="C6" s="27" t="s">
        <v>151</v>
      </c>
      <c r="D6" s="27" t="n">
        <v>466150</v>
      </c>
      <c r="E6" s="28" t="s">
        <v>45</v>
      </c>
      <c r="F6" s="28" t="s">
        <v>45</v>
      </c>
      <c r="G6" s="28" t="s">
        <v>519</v>
      </c>
      <c r="H6" s="28" t="s">
        <v>519</v>
      </c>
      <c r="I6" s="28" t="s">
        <v>519</v>
      </c>
      <c r="J6" s="28" t="s">
        <v>522</v>
      </c>
      <c r="K6" s="28" t="s">
        <v>522</v>
      </c>
      <c r="L6" s="28" t="s">
        <v>519</v>
      </c>
      <c r="M6" s="29" t="s">
        <v>518</v>
      </c>
      <c r="N6" s="29" t="s">
        <v>518</v>
      </c>
      <c r="O6" s="29" t="s">
        <v>518</v>
      </c>
      <c r="P6" s="30"/>
      <c r="Q6" s="31" t="n">
        <v>313</v>
      </c>
      <c r="R6" s="39" t="s">
        <v>548</v>
      </c>
      <c r="S6" s="159" t="n">
        <v>18.5</v>
      </c>
      <c r="T6" s="34"/>
      <c r="U6" s="35" t="n">
        <v>984</v>
      </c>
      <c r="V6" s="41" t="n">
        <v>46002</v>
      </c>
      <c r="W6" s="41" t="n">
        <v>46002</v>
      </c>
      <c r="X6" s="36" t="n">
        <v>45651</v>
      </c>
      <c r="Y6" s="160" t="n">
        <v>18</v>
      </c>
      <c r="Z6" s="38"/>
      <c r="AA6" s="39"/>
      <c r="AB6" s="39"/>
      <c r="AC6" s="44"/>
      <c r="AD6" s="36" t="n">
        <v>46016</v>
      </c>
      <c r="AE6" s="28" t="n">
        <v>5</v>
      </c>
      <c r="AF6" s="36" t="n">
        <v>46016</v>
      </c>
      <c r="AG6" s="28" t="n">
        <v>5</v>
      </c>
      <c r="AH6" s="109" t="n">
        <f aca="false">SUM(AE6,AG6)</f>
        <v>10</v>
      </c>
      <c r="AI6" s="42"/>
      <c r="AJ6" s="43" t="str">
        <f aca="false">IF(AND(S6&gt;=12,Y6&gt;=12,AH6&gt;=6),"да","нет")</f>
        <v>да</v>
      </c>
      <c r="AK6" s="2"/>
      <c r="AL6" s="2" t="n">
        <v>40</v>
      </c>
      <c r="AM6" s="23" t="n">
        <f aca="false">SUM(S6,Y6,AA6,AB6,AH6,AL6,AK6)</f>
        <v>86.5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229</v>
      </c>
      <c r="C7" s="27" t="s">
        <v>151</v>
      </c>
      <c r="D7" s="27" t="n">
        <v>474305</v>
      </c>
      <c r="E7" s="28" t="s">
        <v>45</v>
      </c>
      <c r="F7" s="28" t="s">
        <v>45</v>
      </c>
      <c r="G7" s="28" t="s">
        <v>525</v>
      </c>
      <c r="H7" s="28" t="s">
        <v>519</v>
      </c>
      <c r="I7" s="28" t="s">
        <v>45</v>
      </c>
      <c r="J7" s="28" t="s">
        <v>45</v>
      </c>
      <c r="K7" s="28" t="s">
        <v>45</v>
      </c>
      <c r="L7" s="28" t="s">
        <v>525</v>
      </c>
      <c r="M7" s="29" t="s">
        <v>518</v>
      </c>
      <c r="N7" s="29" t="s">
        <v>518</v>
      </c>
      <c r="O7" s="29" t="s">
        <v>518</v>
      </c>
      <c r="P7" s="30"/>
      <c r="Q7" s="31" t="n">
        <v>314</v>
      </c>
      <c r="R7" s="39" t="s">
        <v>541</v>
      </c>
      <c r="S7" s="159" t="n">
        <v>18.5</v>
      </c>
      <c r="T7" s="34"/>
      <c r="U7" s="35" t="n">
        <v>523</v>
      </c>
      <c r="V7" s="36" t="n">
        <v>45651</v>
      </c>
      <c r="W7" s="36" t="n">
        <v>45651</v>
      </c>
      <c r="X7" s="36" t="n">
        <v>45651</v>
      </c>
      <c r="Y7" s="160" t="n">
        <v>19</v>
      </c>
      <c r="Z7" s="38"/>
      <c r="AA7" s="39"/>
      <c r="AB7" s="39"/>
      <c r="AC7" s="40"/>
      <c r="AD7" s="36" t="n">
        <v>46016</v>
      </c>
      <c r="AE7" s="28" t="n">
        <v>3</v>
      </c>
      <c r="AF7" s="36" t="n">
        <v>46016</v>
      </c>
      <c r="AG7" s="161" t="n">
        <v>3</v>
      </c>
      <c r="AH7" s="109" t="n">
        <f aca="false">SUM(AE7,AG7)</f>
        <v>6</v>
      </c>
      <c r="AI7" s="42"/>
      <c r="AJ7" s="43" t="str">
        <f aca="false">IF(AND(S7&gt;=12,Y7&gt;=12,AH7&gt;=6),"да","нет")</f>
        <v>да</v>
      </c>
      <c r="AK7" s="2"/>
      <c r="AL7" s="2" t="n">
        <v>40</v>
      </c>
      <c r="AM7" s="23" t="n">
        <f aca="false">SUM(S7,Y7,AA7,AB7,AH7,AL7,AK7)</f>
        <v>83.5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327</v>
      </c>
      <c r="C8" s="27" t="s">
        <v>151</v>
      </c>
      <c r="D8" s="27" t="n">
        <v>405271</v>
      </c>
      <c r="E8" s="28" t="s">
        <v>45</v>
      </c>
      <c r="F8" s="28" t="s">
        <v>522</v>
      </c>
      <c r="G8" s="28" t="s">
        <v>525</v>
      </c>
      <c r="H8" s="28" t="s">
        <v>45</v>
      </c>
      <c r="I8" s="28" t="s">
        <v>519</v>
      </c>
      <c r="J8" s="28" t="s">
        <v>525</v>
      </c>
      <c r="K8" s="28" t="s">
        <v>518</v>
      </c>
      <c r="L8" s="28" t="s">
        <v>518</v>
      </c>
      <c r="M8" s="29" t="s">
        <v>518</v>
      </c>
      <c r="N8" s="29" t="s">
        <v>518</v>
      </c>
      <c r="O8" s="29" t="s">
        <v>518</v>
      </c>
      <c r="P8" s="30"/>
      <c r="Q8" s="31" t="n">
        <v>315</v>
      </c>
      <c r="R8" s="39" t="s">
        <v>548</v>
      </c>
      <c r="S8" s="159" t="n">
        <v>20</v>
      </c>
      <c r="T8" s="34"/>
      <c r="U8" s="35" t="n">
        <v>652</v>
      </c>
      <c r="V8" s="41" t="n">
        <v>45988</v>
      </c>
      <c r="W8" s="41" t="n">
        <v>45988</v>
      </c>
      <c r="X8" s="41" t="n">
        <v>45988</v>
      </c>
      <c r="Y8" s="160" t="n">
        <v>20</v>
      </c>
      <c r="Z8" s="38"/>
      <c r="AA8" s="39"/>
      <c r="AB8" s="39"/>
      <c r="AC8" s="40"/>
      <c r="AD8" s="36" t="n">
        <v>46016</v>
      </c>
      <c r="AE8" s="28" t="n">
        <v>3.5</v>
      </c>
      <c r="AF8" s="36" t="n">
        <v>46016</v>
      </c>
      <c r="AG8" s="161" t="n">
        <v>3.5</v>
      </c>
      <c r="AH8" s="109" t="n">
        <f aca="false">SUM(AE8,AG8)</f>
        <v>7</v>
      </c>
      <c r="AI8" s="42"/>
      <c r="AJ8" s="43" t="str">
        <f aca="false">IF(AND(S8&gt;=12,Y8&gt;=12,AH8&gt;=6),"да","нет")</f>
        <v>да</v>
      </c>
      <c r="AK8" s="2"/>
      <c r="AL8" s="2" t="n">
        <v>40</v>
      </c>
      <c r="AM8" s="23" t="n">
        <f aca="false">SUM(S8,Y8,AA8,AB8,AH8,AL8,AK8)</f>
        <v>87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337</v>
      </c>
      <c r="C9" s="27" t="s">
        <v>151</v>
      </c>
      <c r="D9" s="27" t="n">
        <v>466932</v>
      </c>
      <c r="E9" s="28" t="s">
        <v>45</v>
      </c>
      <c r="F9" s="28" t="s">
        <v>45</v>
      </c>
      <c r="G9" s="28" t="s">
        <v>519</v>
      </c>
      <c r="H9" s="28" t="s">
        <v>45</v>
      </c>
      <c r="I9" s="28" t="s">
        <v>522</v>
      </c>
      <c r="J9" s="28" t="s">
        <v>45</v>
      </c>
      <c r="K9" s="28" t="s">
        <v>519</v>
      </c>
      <c r="L9" s="28" t="s">
        <v>45</v>
      </c>
      <c r="M9" s="29" t="s">
        <v>518</v>
      </c>
      <c r="N9" s="29" t="s">
        <v>519</v>
      </c>
      <c r="O9" s="29" t="s">
        <v>518</v>
      </c>
      <c r="P9" s="30"/>
      <c r="Q9" s="31" t="n">
        <v>316</v>
      </c>
      <c r="R9" s="39" t="s">
        <v>548</v>
      </c>
      <c r="S9" s="159" t="n">
        <v>17.5</v>
      </c>
      <c r="T9" s="34"/>
      <c r="U9" s="35" t="n">
        <v>887</v>
      </c>
      <c r="V9" s="36"/>
      <c r="W9" s="36"/>
      <c r="X9" s="36"/>
      <c r="Y9" s="162"/>
      <c r="Z9" s="38"/>
      <c r="AA9" s="39"/>
      <c r="AB9" s="39"/>
      <c r="AC9" s="44"/>
      <c r="AD9" s="41" t="n">
        <v>45719</v>
      </c>
      <c r="AE9" s="28" t="n">
        <v>0.03</v>
      </c>
      <c r="AF9" s="36"/>
      <c r="AG9" s="161"/>
      <c r="AH9" s="109" t="n">
        <f aca="false">SUM(AE9,AG9)</f>
        <v>0.03</v>
      </c>
      <c r="AI9" s="42"/>
      <c r="AJ9" s="43" t="str">
        <f aca="false">IF(AND(S9&gt;=12,Y9&gt;=12,AH9&gt;=6),"да","нет")</f>
        <v>нет</v>
      </c>
      <c r="AK9" s="2"/>
      <c r="AL9" s="2"/>
      <c r="AM9" s="23" t="n">
        <f aca="false">SUM(S9,Y9,AA9,AB9,AH9,AL9,AK9)</f>
        <v>17.53</v>
      </c>
      <c r="AN9" s="29" t="str">
        <f aca="false">IF(AND(S9&gt;=12,Y9&gt;=12,AH9&gt;=6,AL9&gt;=24,AM9&gt;=60),"Зачет","Незачет")</f>
        <v>Незачет</v>
      </c>
    </row>
    <row r="10" customFormat="false" ht="15.75" hidden="false" customHeight="false" outlineLevel="0" collapsed="false">
      <c r="A10" s="25" t="n">
        <v>8</v>
      </c>
      <c r="B10" s="26" t="s">
        <v>345</v>
      </c>
      <c r="C10" s="27" t="s">
        <v>151</v>
      </c>
      <c r="D10" s="27" t="n">
        <v>406672</v>
      </c>
      <c r="E10" s="28" t="s">
        <v>45</v>
      </c>
      <c r="F10" s="28" t="s">
        <v>519</v>
      </c>
      <c r="G10" s="28" t="s">
        <v>522</v>
      </c>
      <c r="H10" s="28" t="s">
        <v>45</v>
      </c>
      <c r="I10" s="28" t="s">
        <v>519</v>
      </c>
      <c r="J10" s="28" t="s">
        <v>45</v>
      </c>
      <c r="K10" s="28" t="s">
        <v>522</v>
      </c>
      <c r="L10" s="28" t="s">
        <v>525</v>
      </c>
      <c r="M10" s="29" t="s">
        <v>518</v>
      </c>
      <c r="N10" s="29" t="s">
        <v>45</v>
      </c>
      <c r="O10" s="29" t="s">
        <v>518</v>
      </c>
      <c r="P10" s="30"/>
      <c r="Q10" s="31" t="n">
        <v>317</v>
      </c>
      <c r="R10" s="39" t="s">
        <v>547</v>
      </c>
      <c r="S10" s="159" t="n">
        <v>19</v>
      </c>
      <c r="T10" s="34"/>
      <c r="U10" s="35" t="n">
        <v>992</v>
      </c>
      <c r="V10" s="36" t="n">
        <v>45651</v>
      </c>
      <c r="W10" s="36" t="n">
        <v>45651</v>
      </c>
      <c r="X10" s="36" t="n">
        <v>45651</v>
      </c>
      <c r="Y10" s="160" t="n">
        <v>20</v>
      </c>
      <c r="Z10" s="38"/>
      <c r="AA10" s="39"/>
      <c r="AB10" s="39"/>
      <c r="AC10" s="40"/>
      <c r="AD10" s="41" t="n">
        <v>45678</v>
      </c>
      <c r="AE10" s="28" t="n">
        <v>3</v>
      </c>
      <c r="AF10" s="41" t="n">
        <v>45678</v>
      </c>
      <c r="AG10" s="161" t="n">
        <v>3</v>
      </c>
      <c r="AH10" s="109" t="n">
        <f aca="false">SUM(AE10,AG10)</f>
        <v>6</v>
      </c>
      <c r="AI10" s="42"/>
      <c r="AJ10" s="43" t="str">
        <f aca="false">IF(AND(S10&gt;=12,Y10&gt;=12,AH10&gt;=6),"да","нет")</f>
        <v>да</v>
      </c>
      <c r="AK10" s="2"/>
      <c r="AL10" s="2" t="n">
        <v>40</v>
      </c>
      <c r="AM10" s="23" t="n">
        <f aca="false">SUM(S10,Y10,AA10,AB10,AH10,AL10,AK10)</f>
        <v>85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372</v>
      </c>
      <c r="C11" s="27" t="s">
        <v>151</v>
      </c>
      <c r="D11" s="27" t="n">
        <v>467222</v>
      </c>
      <c r="E11" s="28" t="s">
        <v>518</v>
      </c>
      <c r="F11" s="28" t="s">
        <v>518</v>
      </c>
      <c r="G11" s="28" t="s">
        <v>45</v>
      </c>
      <c r="H11" s="28" t="s">
        <v>519</v>
      </c>
      <c r="I11" s="28" t="s">
        <v>522</v>
      </c>
      <c r="J11" s="28" t="s">
        <v>518</v>
      </c>
      <c r="K11" s="28" t="s">
        <v>45</v>
      </c>
      <c r="L11" s="28" t="s">
        <v>45</v>
      </c>
      <c r="M11" s="29" t="s">
        <v>518</v>
      </c>
      <c r="N11" s="29" t="s">
        <v>519</v>
      </c>
      <c r="O11" s="29" t="s">
        <v>519</v>
      </c>
      <c r="P11" s="30"/>
      <c r="Q11" s="31" t="n">
        <v>318</v>
      </c>
      <c r="R11" s="39" t="s">
        <v>545</v>
      </c>
      <c r="S11" s="159" t="n">
        <v>18</v>
      </c>
      <c r="T11" s="34"/>
      <c r="U11" s="35" t="n">
        <v>412</v>
      </c>
      <c r="V11" s="36" t="n">
        <v>45678</v>
      </c>
      <c r="W11" s="36" t="n">
        <v>45678</v>
      </c>
      <c r="X11" s="36" t="n">
        <v>45709</v>
      </c>
      <c r="Y11" s="162" t="n">
        <v>12</v>
      </c>
      <c r="Z11" s="38"/>
      <c r="AA11" s="39"/>
      <c r="AB11" s="39"/>
      <c r="AC11" s="40"/>
      <c r="AD11" s="41" t="n">
        <v>45719</v>
      </c>
      <c r="AE11" s="28" t="n">
        <v>3</v>
      </c>
      <c r="AF11" s="41" t="n">
        <v>45719</v>
      </c>
      <c r="AG11" s="161" t="n">
        <v>3</v>
      </c>
      <c r="AH11" s="109" t="n">
        <f aca="false">SUM(AE11,AG11)</f>
        <v>6</v>
      </c>
      <c r="AI11" s="42"/>
      <c r="AJ11" s="43" t="str">
        <f aca="false">IF(AND(S11&gt;=12,Y11&gt;=12,AH11&gt;=6),"да","нет")</f>
        <v>да</v>
      </c>
      <c r="AK11" s="2"/>
      <c r="AL11" s="2" t="n">
        <v>24</v>
      </c>
      <c r="AM11" s="23" t="n">
        <f aca="false">SUM(S11,Y11,AA11,AB11,AH11,AL11,AK11)</f>
        <v>60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386</v>
      </c>
      <c r="C12" s="27" t="s">
        <v>151</v>
      </c>
      <c r="D12" s="27" t="n">
        <v>467305</v>
      </c>
      <c r="E12" s="28" t="s">
        <v>45</v>
      </c>
      <c r="F12" s="28" t="s">
        <v>45</v>
      </c>
      <c r="G12" s="28" t="s">
        <v>519</v>
      </c>
      <c r="H12" s="28" t="s">
        <v>519</v>
      </c>
      <c r="I12" s="28" t="s">
        <v>519</v>
      </c>
      <c r="J12" s="28" t="s">
        <v>518</v>
      </c>
      <c r="K12" s="28" t="s">
        <v>519</v>
      </c>
      <c r="L12" s="28" t="s">
        <v>519</v>
      </c>
      <c r="M12" s="29" t="s">
        <v>519</v>
      </c>
      <c r="N12" s="29" t="s">
        <v>518</v>
      </c>
      <c r="O12" s="29" t="s">
        <v>518</v>
      </c>
      <c r="P12" s="30"/>
      <c r="Q12" s="31" t="n">
        <v>319</v>
      </c>
      <c r="R12" s="39" t="s">
        <v>545</v>
      </c>
      <c r="S12" s="159" t="n">
        <v>18.5</v>
      </c>
      <c r="T12" s="34"/>
      <c r="U12" s="35" t="n">
        <v>112</v>
      </c>
      <c r="V12" s="36" t="n">
        <v>45651</v>
      </c>
      <c r="W12" s="36" t="n">
        <v>45651</v>
      </c>
      <c r="X12" s="36" t="n">
        <v>45673</v>
      </c>
      <c r="Y12" s="160" t="n">
        <v>17.5</v>
      </c>
      <c r="Z12" s="38"/>
      <c r="AA12" s="39"/>
      <c r="AB12" s="39"/>
      <c r="AC12" s="40"/>
      <c r="AD12" s="41" t="n">
        <v>46016</v>
      </c>
      <c r="AE12" s="28" t="n">
        <v>5</v>
      </c>
      <c r="AF12" s="41" t="n">
        <v>46016</v>
      </c>
      <c r="AG12" s="28" t="n">
        <v>5</v>
      </c>
      <c r="AH12" s="109" t="n">
        <f aca="false">SUM(AE12,AG12)</f>
        <v>10</v>
      </c>
      <c r="AI12" s="42"/>
      <c r="AJ12" s="43" t="str">
        <f aca="false">IF(AND(S12&gt;=12,Y12&gt;=12,AH12&gt;=6),"да","нет")</f>
        <v>да</v>
      </c>
      <c r="AK12" s="2"/>
      <c r="AL12" s="2" t="n">
        <v>30</v>
      </c>
      <c r="AM12" s="23" t="n">
        <f aca="false">SUM(S12,Y12,AA12,AB12,AH12,AL12,AK12)</f>
        <v>76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397</v>
      </c>
      <c r="C13" s="27" t="s">
        <v>151</v>
      </c>
      <c r="D13" s="27" t="n">
        <v>467371</v>
      </c>
      <c r="E13" s="28" t="s">
        <v>45</v>
      </c>
      <c r="F13" s="28" t="s">
        <v>525</v>
      </c>
      <c r="G13" s="28" t="s">
        <v>45</v>
      </c>
      <c r="H13" s="28" t="s">
        <v>45</v>
      </c>
      <c r="I13" s="28" t="s">
        <v>45</v>
      </c>
      <c r="J13" s="28" t="s">
        <v>45</v>
      </c>
      <c r="K13" s="28" t="s">
        <v>525</v>
      </c>
      <c r="L13" s="28" t="s">
        <v>518</v>
      </c>
      <c r="M13" s="29" t="s">
        <v>518</v>
      </c>
      <c r="N13" s="29" t="s">
        <v>518</v>
      </c>
      <c r="O13" s="29" t="s">
        <v>518</v>
      </c>
      <c r="P13" s="30"/>
      <c r="Q13" s="31" t="n">
        <v>320</v>
      </c>
      <c r="R13" s="39" t="s">
        <v>547</v>
      </c>
      <c r="S13" s="159" t="n">
        <v>20</v>
      </c>
      <c r="T13" s="34"/>
      <c r="U13" s="35" t="n">
        <v>123</v>
      </c>
      <c r="V13" s="41" t="n">
        <v>46002</v>
      </c>
      <c r="W13" s="41" t="n">
        <v>46002</v>
      </c>
      <c r="X13" s="41" t="n">
        <v>46002</v>
      </c>
      <c r="Y13" s="160" t="n">
        <v>20</v>
      </c>
      <c r="Z13" s="38"/>
      <c r="AA13" s="39"/>
      <c r="AB13" s="39"/>
      <c r="AC13" s="40"/>
      <c r="AD13" s="41" t="n">
        <v>46016</v>
      </c>
      <c r="AE13" s="28" t="n">
        <v>3</v>
      </c>
      <c r="AF13" s="41" t="n">
        <v>46016</v>
      </c>
      <c r="AG13" s="28" t="n">
        <v>3</v>
      </c>
      <c r="AH13" s="109" t="n">
        <f aca="false">SUM(AE13,AG13)</f>
        <v>6</v>
      </c>
      <c r="AI13" s="42"/>
      <c r="AJ13" s="43" t="str">
        <f aca="false">IF(AND(S13&gt;=12,Y13&gt;=12,AH13&gt;=6),"да","нет")</f>
        <v>да</v>
      </c>
      <c r="AK13" s="2"/>
      <c r="AL13" s="2" t="n">
        <v>40</v>
      </c>
      <c r="AM13" s="23" t="n">
        <f aca="false">SUM(S13,Y13,AA13,AB13,AH13,AL13,AK13)</f>
        <v>86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404</v>
      </c>
      <c r="C14" s="27" t="s">
        <v>151</v>
      </c>
      <c r="D14" s="27" t="n">
        <v>467422</v>
      </c>
      <c r="E14" s="28" t="s">
        <v>45</v>
      </c>
      <c r="F14" s="28" t="s">
        <v>519</v>
      </c>
      <c r="G14" s="28" t="s">
        <v>522</v>
      </c>
      <c r="H14" s="28" t="s">
        <v>519</v>
      </c>
      <c r="I14" s="28" t="s">
        <v>519</v>
      </c>
      <c r="J14" s="28" t="s">
        <v>45</v>
      </c>
      <c r="K14" s="28" t="s">
        <v>522</v>
      </c>
      <c r="L14" s="28" t="s">
        <v>519</v>
      </c>
      <c r="M14" s="29" t="s">
        <v>518</v>
      </c>
      <c r="N14" s="29" t="s">
        <v>518</v>
      </c>
      <c r="O14" s="29" t="s">
        <v>518</v>
      </c>
      <c r="P14" s="30"/>
      <c r="Q14" s="31" t="n">
        <v>321</v>
      </c>
      <c r="R14" s="39" t="s">
        <v>545</v>
      </c>
      <c r="S14" s="159" t="n">
        <v>18.5</v>
      </c>
      <c r="T14" s="34"/>
      <c r="U14" s="35" t="n">
        <v>441</v>
      </c>
      <c r="V14" s="41" t="n">
        <v>46002</v>
      </c>
      <c r="W14" s="41" t="n">
        <v>46002</v>
      </c>
      <c r="X14" s="36" t="n">
        <v>45651</v>
      </c>
      <c r="Y14" s="160" t="n">
        <v>18.5</v>
      </c>
      <c r="Z14" s="38"/>
      <c r="AA14" s="39"/>
      <c r="AB14" s="39"/>
      <c r="AC14" s="40"/>
      <c r="AD14" s="41" t="n">
        <v>46016</v>
      </c>
      <c r="AE14" s="28" t="n">
        <v>4</v>
      </c>
      <c r="AF14" s="41" t="n">
        <v>46016</v>
      </c>
      <c r="AG14" s="161" t="n">
        <v>4</v>
      </c>
      <c r="AH14" s="109" t="n">
        <f aca="false">SUM(AE14,AG14)</f>
        <v>8</v>
      </c>
      <c r="AI14" s="42"/>
      <c r="AJ14" s="43" t="str">
        <f aca="false">IF(AND(S14&gt;=12,Y14&gt;=12,AH14&gt;=6),"да","нет")</f>
        <v>да</v>
      </c>
      <c r="AK14" s="2"/>
      <c r="AL14" s="2" t="n">
        <v>40</v>
      </c>
      <c r="AM14" s="23" t="n">
        <f aca="false">SUM(S14,Y14,AA14,AB14,AH14,AL14,AK14)</f>
        <v>85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415</v>
      </c>
      <c r="C15" s="27" t="s">
        <v>151</v>
      </c>
      <c r="D15" s="27" t="n">
        <v>467495</v>
      </c>
      <c r="E15" s="28" t="s">
        <v>45</v>
      </c>
      <c r="F15" s="28" t="s">
        <v>45</v>
      </c>
      <c r="G15" s="28" t="s">
        <v>519</v>
      </c>
      <c r="H15" s="28" t="s">
        <v>518</v>
      </c>
      <c r="I15" s="28" t="s">
        <v>522</v>
      </c>
      <c r="J15" s="28" t="s">
        <v>518</v>
      </c>
      <c r="K15" s="28" t="s">
        <v>45</v>
      </c>
      <c r="L15" s="28" t="s">
        <v>519</v>
      </c>
      <c r="M15" s="29" t="s">
        <v>519</v>
      </c>
      <c r="N15" s="29" t="s">
        <v>518</v>
      </c>
      <c r="O15" s="29" t="s">
        <v>518</v>
      </c>
      <c r="P15" s="30"/>
      <c r="Q15" s="31" t="n">
        <v>322</v>
      </c>
      <c r="R15" s="39" t="s">
        <v>545</v>
      </c>
      <c r="S15" s="159" t="n">
        <v>18</v>
      </c>
      <c r="T15" s="34"/>
      <c r="U15" s="35" t="n">
        <v>567</v>
      </c>
      <c r="V15" s="36" t="n">
        <v>45673</v>
      </c>
      <c r="W15" s="36" t="n">
        <v>45673</v>
      </c>
      <c r="X15" s="36" t="n">
        <v>45673</v>
      </c>
      <c r="Y15" s="160" t="n">
        <v>20</v>
      </c>
      <c r="Z15" s="38"/>
      <c r="AA15" s="39"/>
      <c r="AB15" s="39"/>
      <c r="AC15" s="40"/>
      <c r="AD15" s="41" t="n">
        <v>46016</v>
      </c>
      <c r="AE15" s="28" t="n">
        <v>3</v>
      </c>
      <c r="AF15" s="41" t="n">
        <v>46016</v>
      </c>
      <c r="AG15" s="28" t="n">
        <v>3</v>
      </c>
      <c r="AH15" s="109" t="n">
        <f aca="false">SUM(AE15,AG15)</f>
        <v>6</v>
      </c>
      <c r="AI15" s="42"/>
      <c r="AJ15" s="43" t="str">
        <f aca="false">IF(AND(S15&gt;=12,Y15&gt;=12,AH15&gt;=6),"да","нет")</f>
        <v>да</v>
      </c>
      <c r="AK15" s="78"/>
      <c r="AL15" s="37" t="n">
        <v>30</v>
      </c>
      <c r="AM15" s="23" t="n">
        <f aca="false">SUM(S15,Y15,AA15,AB15,AH15,AL15,AK15)</f>
        <v>74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416</v>
      </c>
      <c r="C16" s="27" t="s">
        <v>151</v>
      </c>
      <c r="D16" s="27" t="n">
        <v>476011</v>
      </c>
      <c r="E16" s="28" t="s">
        <v>45</v>
      </c>
      <c r="F16" s="28" t="s">
        <v>522</v>
      </c>
      <c r="G16" s="28" t="s">
        <v>45</v>
      </c>
      <c r="H16" s="28" t="s">
        <v>45</v>
      </c>
      <c r="I16" s="28" t="s">
        <v>45</v>
      </c>
      <c r="J16" s="28" t="s">
        <v>525</v>
      </c>
      <c r="K16" s="28" t="s">
        <v>522</v>
      </c>
      <c r="L16" s="28" t="s">
        <v>518</v>
      </c>
      <c r="M16" s="29" t="s">
        <v>518</v>
      </c>
      <c r="N16" s="29" t="s">
        <v>518</v>
      </c>
      <c r="O16" s="29" t="s">
        <v>518</v>
      </c>
      <c r="P16" s="30"/>
      <c r="Q16" s="31" t="n">
        <v>323</v>
      </c>
      <c r="R16" s="39" t="s">
        <v>547</v>
      </c>
      <c r="S16" s="159" t="n">
        <v>20</v>
      </c>
      <c r="T16" s="34"/>
      <c r="U16" s="35" t="n">
        <v>643</v>
      </c>
      <c r="V16" s="41" t="n">
        <v>45988</v>
      </c>
      <c r="W16" s="41" t="n">
        <v>45988</v>
      </c>
      <c r="X16" s="41" t="n">
        <v>46002</v>
      </c>
      <c r="Y16" s="160" t="n">
        <v>20</v>
      </c>
      <c r="Z16" s="38"/>
      <c r="AA16" s="39"/>
      <c r="AB16" s="39"/>
      <c r="AC16" s="40"/>
      <c r="AD16" s="41" t="n">
        <v>46016</v>
      </c>
      <c r="AE16" s="28" t="n">
        <v>4.5</v>
      </c>
      <c r="AF16" s="41" t="n">
        <v>46016</v>
      </c>
      <c r="AG16" s="28" t="n">
        <v>4.5</v>
      </c>
      <c r="AH16" s="109" t="n">
        <f aca="false">SUM(AE16,AG16)</f>
        <v>9</v>
      </c>
      <c r="AI16" s="42"/>
      <c r="AJ16" s="43" t="str">
        <f aca="false">IF(AND(S16&gt;=12,Y16&gt;=12,AH16&gt;=6),"да","нет")</f>
        <v>да</v>
      </c>
      <c r="AK16" s="2" t="n">
        <v>3</v>
      </c>
      <c r="AL16" s="2" t="n">
        <v>40</v>
      </c>
      <c r="AM16" s="23" t="n">
        <f aca="false">SUM(S16,Y16,AA16,AB16,AH16,AL16,AK16)</f>
        <v>92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425</v>
      </c>
      <c r="C17" s="27" t="s">
        <v>151</v>
      </c>
      <c r="D17" s="27" t="n">
        <v>467550</v>
      </c>
      <c r="E17" s="28" t="s">
        <v>45</v>
      </c>
      <c r="F17" s="28" t="s">
        <v>45</v>
      </c>
      <c r="G17" s="28" t="s">
        <v>522</v>
      </c>
      <c r="H17" s="28" t="s">
        <v>519</v>
      </c>
      <c r="I17" s="28" t="s">
        <v>518</v>
      </c>
      <c r="J17" s="28" t="s">
        <v>45</v>
      </c>
      <c r="K17" s="28" t="s">
        <v>45</v>
      </c>
      <c r="L17" s="28" t="s">
        <v>518</v>
      </c>
      <c r="M17" s="29" t="s">
        <v>519</v>
      </c>
      <c r="N17" s="29" t="s">
        <v>522</v>
      </c>
      <c r="O17" s="29" t="s">
        <v>518</v>
      </c>
      <c r="P17" s="30"/>
      <c r="Q17" s="31" t="n">
        <v>324</v>
      </c>
      <c r="R17" s="39" t="s">
        <v>541</v>
      </c>
      <c r="S17" s="159" t="n">
        <v>19</v>
      </c>
      <c r="T17" s="34"/>
      <c r="U17" s="35" t="n">
        <v>651</v>
      </c>
      <c r="V17" s="36" t="n">
        <v>45673</v>
      </c>
      <c r="W17" s="36" t="n">
        <v>45673</v>
      </c>
      <c r="X17" s="36" t="n">
        <v>45678</v>
      </c>
      <c r="Y17" s="160" t="n">
        <v>19.5</v>
      </c>
      <c r="Z17" s="38"/>
      <c r="AA17" s="39"/>
      <c r="AB17" s="39"/>
      <c r="AC17" s="44"/>
      <c r="AD17" s="36" t="n">
        <v>46016</v>
      </c>
      <c r="AE17" s="28" t="n">
        <v>3</v>
      </c>
      <c r="AF17" s="158" t="n">
        <v>46016</v>
      </c>
      <c r="AG17" s="161" t="n">
        <v>3</v>
      </c>
      <c r="AH17" s="109" t="n">
        <f aca="false">SUM(AE17,AG17)</f>
        <v>6</v>
      </c>
      <c r="AI17" s="42"/>
      <c r="AJ17" s="43" t="str">
        <f aca="false">IF(AND(S17&gt;=12,Y17&gt;=12,AH17&gt;=6),"да","нет")</f>
        <v>да</v>
      </c>
      <c r="AK17" s="2"/>
      <c r="AL17" s="2" t="n">
        <v>40</v>
      </c>
      <c r="AM17" s="23" t="n">
        <f aca="false">SUM(S17,Y17,AA17,AB17,AH17,AL17,AK17)</f>
        <v>84.5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471</v>
      </c>
      <c r="C18" s="27" t="s">
        <v>151</v>
      </c>
      <c r="D18" s="27" t="n">
        <v>467906</v>
      </c>
      <c r="E18" s="28" t="s">
        <v>45</v>
      </c>
      <c r="F18" s="28" t="s">
        <v>45</v>
      </c>
      <c r="G18" s="28" t="s">
        <v>519</v>
      </c>
      <c r="H18" s="28" t="s">
        <v>45</v>
      </c>
      <c r="I18" s="28" t="s">
        <v>522</v>
      </c>
      <c r="J18" s="28" t="s">
        <v>45</v>
      </c>
      <c r="K18" s="28" t="s">
        <v>45</v>
      </c>
      <c r="L18" s="28" t="s">
        <v>518</v>
      </c>
      <c r="M18" s="29" t="s">
        <v>518</v>
      </c>
      <c r="N18" s="29" t="s">
        <v>525</v>
      </c>
      <c r="O18" s="29" t="s">
        <v>518</v>
      </c>
      <c r="P18" s="30"/>
      <c r="Q18" s="31" t="n">
        <v>325</v>
      </c>
      <c r="R18" s="39" t="s">
        <v>545</v>
      </c>
      <c r="S18" s="159" t="n">
        <v>19</v>
      </c>
      <c r="T18" s="34"/>
      <c r="U18" s="35" t="n">
        <v>442</v>
      </c>
      <c r="V18" s="36" t="n">
        <v>45678</v>
      </c>
      <c r="W18" s="36" t="n">
        <v>45678</v>
      </c>
      <c r="X18" s="36" t="n">
        <v>45678</v>
      </c>
      <c r="Y18" s="162" t="n">
        <v>17.5</v>
      </c>
      <c r="Z18" s="38"/>
      <c r="AA18" s="39"/>
      <c r="AB18" s="39"/>
      <c r="AC18" s="40"/>
      <c r="AD18" s="36" t="n">
        <v>46016</v>
      </c>
      <c r="AE18" s="28" t="n">
        <v>3.5</v>
      </c>
      <c r="AF18" s="36" t="n">
        <v>46016</v>
      </c>
      <c r="AG18" s="161" t="n">
        <v>3.5</v>
      </c>
      <c r="AH18" s="109" t="n">
        <f aca="false">SUM(AE18,AG18)</f>
        <v>7</v>
      </c>
      <c r="AI18" s="42"/>
      <c r="AJ18" s="43" t="str">
        <f aca="false">IF(AND(S18&gt;=12,Y18&gt;=12,AH18&gt;=6),"да","нет")</f>
        <v>да</v>
      </c>
      <c r="AK18" s="2"/>
      <c r="AL18" s="2" t="n">
        <v>30</v>
      </c>
      <c r="AM18" s="23" t="n">
        <f aca="false">SUM(S18,Y18,AA18,AB18,AH18,AL18,AK18)</f>
        <v>73.5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483</v>
      </c>
      <c r="C19" s="27" t="s">
        <v>151</v>
      </c>
      <c r="D19" s="27" t="n">
        <v>468012</v>
      </c>
      <c r="E19" s="28" t="s">
        <v>45</v>
      </c>
      <c r="F19" s="28" t="s">
        <v>546</v>
      </c>
      <c r="G19" s="28" t="s">
        <v>45</v>
      </c>
      <c r="H19" s="28" t="s">
        <v>45</v>
      </c>
      <c r="I19" s="28" t="s">
        <v>519</v>
      </c>
      <c r="J19" s="28" t="s">
        <v>522</v>
      </c>
      <c r="K19" s="28" t="s">
        <v>518</v>
      </c>
      <c r="L19" s="28" t="s">
        <v>525</v>
      </c>
      <c r="M19" s="29" t="s">
        <v>518</v>
      </c>
      <c r="N19" s="29" t="s">
        <v>518</v>
      </c>
      <c r="O19" s="29" t="s">
        <v>518</v>
      </c>
      <c r="P19" s="30"/>
      <c r="Q19" s="31" t="n">
        <v>326</v>
      </c>
      <c r="R19" s="39" t="s">
        <v>547</v>
      </c>
      <c r="S19" s="159" t="n">
        <v>19</v>
      </c>
      <c r="T19" s="34"/>
      <c r="U19" s="35" t="n">
        <v>542</v>
      </c>
      <c r="V19" s="41" t="n">
        <v>45988</v>
      </c>
      <c r="W19" s="41" t="n">
        <v>45988</v>
      </c>
      <c r="X19" s="36" t="n">
        <v>45651</v>
      </c>
      <c r="Y19" s="160" t="n">
        <v>18.5</v>
      </c>
      <c r="Z19" s="38"/>
      <c r="AA19" s="39"/>
      <c r="AB19" s="39"/>
      <c r="AC19" s="40"/>
      <c r="AD19" s="41" t="n">
        <v>46016</v>
      </c>
      <c r="AE19" s="28" t="n">
        <v>5</v>
      </c>
      <c r="AF19" s="41" t="n">
        <v>46016</v>
      </c>
      <c r="AG19" s="28" t="n">
        <v>5</v>
      </c>
      <c r="AH19" s="109" t="n">
        <f aca="false">SUM(AE19,AG19)</f>
        <v>10</v>
      </c>
      <c r="AI19" s="42"/>
      <c r="AJ19" s="43" t="str">
        <f aca="false">IF(AND(S19&gt;=12,Y19&gt;=12,AH19&gt;=6),"да","нет")</f>
        <v>да</v>
      </c>
      <c r="AK19" s="2"/>
      <c r="AL19" s="2" t="n">
        <v>40</v>
      </c>
      <c r="AM19" s="23" t="n">
        <f aca="false">SUM(S19,Y19,AA19,AB19,AH19,AL19,AK19)</f>
        <v>87.5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 t="s">
        <v>508</v>
      </c>
      <c r="C20" s="27" t="s">
        <v>151</v>
      </c>
      <c r="D20" s="27" t="n">
        <v>409581</v>
      </c>
      <c r="E20" s="28" t="s">
        <v>45</v>
      </c>
      <c r="F20" s="28" t="s">
        <v>525</v>
      </c>
      <c r="G20" s="28" t="s">
        <v>525</v>
      </c>
      <c r="H20" s="28" t="s">
        <v>518</v>
      </c>
      <c r="I20" s="28" t="s">
        <v>518</v>
      </c>
      <c r="J20" s="28" t="s">
        <v>518</v>
      </c>
      <c r="K20" s="28" t="s">
        <v>518</v>
      </c>
      <c r="L20" s="28" t="s">
        <v>518</v>
      </c>
      <c r="M20" s="29" t="s">
        <v>518</v>
      </c>
      <c r="N20" s="29" t="s">
        <v>518</v>
      </c>
      <c r="O20" s="29" t="s">
        <v>518</v>
      </c>
      <c r="P20" s="30"/>
      <c r="Q20" s="31" t="n">
        <v>327</v>
      </c>
      <c r="R20" s="39" t="s">
        <v>548</v>
      </c>
      <c r="S20" s="160" t="n">
        <v>18.5</v>
      </c>
      <c r="T20" s="47"/>
      <c r="U20" s="2" t="n">
        <v>654</v>
      </c>
      <c r="V20" s="36"/>
      <c r="W20" s="36"/>
      <c r="X20" s="36"/>
      <c r="Y20" s="162"/>
      <c r="Z20" s="38"/>
      <c r="AA20" s="39"/>
      <c r="AB20" s="39"/>
      <c r="AC20" s="48"/>
      <c r="AD20" s="28"/>
      <c r="AE20" s="28"/>
      <c r="AF20" s="28"/>
      <c r="AG20" s="161"/>
      <c r="AH20" s="109" t="n">
        <f aca="false">SUM(AE20,AG20)</f>
        <v>0</v>
      </c>
      <c r="AI20" s="42"/>
      <c r="AJ20" s="43" t="str">
        <f aca="false">IF(AND(S20&gt;=12,Y20&gt;=12,AH20&gt;=6),"да","нет")</f>
        <v>нет</v>
      </c>
      <c r="AK20" s="2"/>
      <c r="AL20" s="2"/>
      <c r="AM20" s="23" t="n">
        <f aca="false">SUM(S20,Y20,AA20,AB20,AH20,AL20,AK20)</f>
        <v>18.5</v>
      </c>
      <c r="AN20" s="29" t="str">
        <f aca="false">IF(AND(S20&gt;=12,Y20&gt;=12,AH20&gt;=6,AL20&gt;=24,AM20&gt;=60),"Зачет","Незачет")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161"/>
      <c r="AH21" s="109" t="n">
        <f aca="false">SUM(AE21,AG21)</f>
        <v>0</v>
      </c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161"/>
      <c r="AH22" s="109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60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8</v>
      </c>
      <c r="G25" s="37" t="n">
        <f aca="false">COUNTIF(G$3:G$23, "~**")</f>
        <v>14</v>
      </c>
      <c r="H25" s="37" t="n">
        <f aca="false">COUNTIF(H$3:H$23, "~**")</f>
        <v>8</v>
      </c>
      <c r="I25" s="37" t="n">
        <f aca="false">COUNTIF(I$3:I$23, "~**")</f>
        <v>12</v>
      </c>
      <c r="J25" s="37" t="n">
        <f aca="false">COUNTIF(J$3:J$23, "~**")</f>
        <v>6</v>
      </c>
      <c r="K25" s="37" t="n">
        <f aca="false">COUNTIF(K$3:K$23, "~**")</f>
        <v>9</v>
      </c>
      <c r="L25" s="37" t="n">
        <f aca="false">COUNTIF(L$3:L$23, "~**")</f>
        <v>7</v>
      </c>
      <c r="M25" s="54" t="n">
        <f aca="false">COUNTIF(M$3:M$23, "~**")</f>
        <v>5</v>
      </c>
      <c r="N25" s="54" t="n">
        <f aca="false">COUNTIF(N$3:N$23, "~**")</f>
        <v>6</v>
      </c>
      <c r="O25" s="54" t="n">
        <f aca="false">COUNTIF(O$3:O$23, "~**")</f>
        <v>1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17</v>
      </c>
      <c r="F26" s="37" t="n">
        <f aca="false">COUNTIF(F$3:F$23, "~**")+COUNTIF(F$3:F$23, "Y")</f>
        <v>17</v>
      </c>
      <c r="G26" s="37" t="n">
        <f aca="false">COUNTIF(G$3:G$23, "~**")+COUNTIF(G$3:G$23, "Y")</f>
        <v>18</v>
      </c>
      <c r="H26" s="37" t="n">
        <f aca="false">COUNTIF(H$3:H$23, "~**")+COUNTIF(H$3:H$23, "Y")</f>
        <v>16</v>
      </c>
      <c r="I26" s="37" t="n">
        <f aca="false">COUNTIF(I$3:I$23, "~**")+COUNTIF(I$3:I$23, "Y")</f>
        <v>16</v>
      </c>
      <c r="J26" s="37" t="n">
        <f aca="false">COUNTIF(J$3:J$23, "~**")+COUNTIF(J$3:J$23, "Y")</f>
        <v>14</v>
      </c>
      <c r="K26" s="37" t="n">
        <f aca="false">COUNTIF(K$3:K$23, "~**")+COUNTIF(K$3:K$23, "Y")</f>
        <v>15</v>
      </c>
      <c r="L26" s="37" t="n">
        <f aca="false">COUNTIF(L$3:L$23, "~**")+COUNTIF(L$3:L$23, "Y")</f>
        <v>10</v>
      </c>
      <c r="M26" s="54" t="n">
        <f aca="false">COUNTIF(M$3:M$23, "~**")+COUNTIF(M$3:M$23, "Y")</f>
        <v>5</v>
      </c>
      <c r="N26" s="54" t="n">
        <f aca="false">COUNTIF(N$3:N$23, "~**")+COUNTIF(N$3:N$23, "Y")</f>
        <v>8</v>
      </c>
      <c r="O26" s="54" t="n">
        <f aca="false">COUNTIF(O$3:O$23, "~**")+COUNTIF(O$3:O$23, "Y")</f>
        <v>1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1</v>
      </c>
      <c r="T28" s="62"/>
      <c r="U28" s="61"/>
      <c r="V28" s="61"/>
      <c r="W28" s="61"/>
      <c r="X28" s="61"/>
      <c r="Y28" s="61" t="n">
        <f aca="false">IFERROR(COUNTA(Y$3:Y23)/COUNTA($B$3:$B$23), 0)</f>
        <v>0.8888888889</v>
      </c>
      <c r="Z28" s="63"/>
      <c r="AA28" s="2"/>
      <c r="AB28" s="2"/>
      <c r="AC28" s="57"/>
      <c r="AE28" s="61" t="n">
        <f aca="false">IFERROR(COUNTIF(AE$3:AE23, "&gt;0")/COUNTA($B$3:$B$22), 0)</f>
        <v>0.9444444444</v>
      </c>
      <c r="AG28" s="61" t="n">
        <f aca="false">IFERROR(COUNTIF(AG$3:AG23, "&gt;0")/COUNTA($B$3:$B$22), 0)</f>
        <v>0.888888888888889</v>
      </c>
      <c r="AH28" s="61" t="n">
        <f aca="false">IFERROR(COUNTIF(AH$3:AH23, "&gt;0")/COUNTA($B$3:$B$22), 0)</f>
        <v>0.944444444444444</v>
      </c>
      <c r="AI28" s="64"/>
      <c r="AJ28" s="65"/>
      <c r="AK28" s="2"/>
      <c r="AL28" s="61" t="n">
        <f aca="false">IFERROR(COUNTIF(AL$3:AL23, "&gt;24")/COUNTA($B$3:$B$22), 0)</f>
        <v>0.7222222222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:S23 Y3:AB23 AH3:AH23 AK3:AL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3">
    <cfRule type="expression" priority="7" aboveAverage="0" equalAverage="0" bottom="0" percent="0" rank="0" text="" dxfId="5">
      <formula>R3&gt;45230</formula>
    </cfRule>
  </conditionalFormatting>
  <conditionalFormatting sqref="V3:X23 AC3:AG23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outlinePr summaryBelow="0"/>
    <pageSetUpPr fitToPage="false"/>
  </sheetPr>
  <dimension ref="A1:A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6" min="5" style="0" width="3.38"/>
    <col collapsed="false" customWidth="true" hidden="false" outlineLevel="0" max="17" min="17" style="0" width="0.38"/>
    <col collapsed="false" customWidth="true" hidden="false" outlineLevel="0" max="18" min="18" style="0" width="5.75"/>
    <col collapsed="false" customWidth="true" hidden="false" outlineLevel="0" max="19" min="19" style="0" width="4.75"/>
    <col collapsed="false" customWidth="true" hidden="false" outlineLevel="0" max="20" min="20" style="0" width="6.12"/>
    <col collapsed="false" customWidth="true" hidden="false" outlineLevel="0" max="21" min="21" style="0" width="1.63"/>
    <col collapsed="false" customWidth="true" hidden="false" outlineLevel="0" max="22" min="22" style="0" width="5.75"/>
    <col collapsed="false" customWidth="true" hidden="false" outlineLevel="0" max="23" min="23" style="0" width="4.75"/>
    <col collapsed="false" customWidth="true" hidden="false" outlineLevel="0" max="24" min="24" style="0" width="5.13"/>
    <col collapsed="false" customWidth="true" hidden="false" outlineLevel="0" max="25" min="25" style="0" width="4.75"/>
    <col collapsed="false" customWidth="true" hidden="false" outlineLevel="0" max="26" min="26" style="0" width="4.38"/>
    <col collapsed="false" customWidth="true" hidden="false" outlineLevel="0" max="27" min="27" style="0" width="0.38"/>
    <col collapsed="false" customWidth="true" hidden="false" outlineLevel="0" max="28" min="28" style="0" width="4.38"/>
    <col collapsed="false" customWidth="true" hidden="false" outlineLevel="0" max="29" min="29" style="0" width="4.5"/>
    <col collapsed="false" customWidth="true" hidden="false" outlineLevel="0" max="30" min="30" style="0" width="0.38"/>
    <col collapsed="false" customWidth="true" hidden="false" outlineLevel="0" max="34" min="31" style="0" width="5.63"/>
    <col collapsed="false" customWidth="true" hidden="false" outlineLevel="0" max="35" min="35" style="0" width="4.38"/>
    <col collapsed="false" customWidth="true" hidden="false" outlineLevel="0" max="36" min="36" style="0" width="0.38"/>
    <col collapsed="false" customWidth="true" hidden="false" outlineLevel="0" max="37" min="37" style="0" width="7.63"/>
    <col collapsed="false" customWidth="true" hidden="false" outlineLevel="0" max="38" min="38" style="0" width="5.63"/>
    <col collapsed="false" customWidth="true" hidden="false" outlineLevel="0" max="39" min="39" style="0" width="7.12"/>
    <col collapsed="false" customWidth="true" hidden="false" outlineLevel="0" max="40" min="40" style="0" width="6.88"/>
    <col collapsed="false" customWidth="true" hidden="false" outlineLevel="0" max="41" min="41" style="0" width="7.5"/>
  </cols>
  <sheetData>
    <row r="1" customFormat="false" ht="15.75" hidden="false" customHeight="true" outlineLevel="0" collapsed="false">
      <c r="A1" s="1" t="s">
        <v>37</v>
      </c>
      <c r="B1" s="2" t="s">
        <v>550</v>
      </c>
      <c r="C1" s="3"/>
      <c r="D1" s="4" t="n">
        <f aca="false">COLUMNS(A2:AO2)-40</f>
        <v>1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5" t="s">
        <v>3</v>
      </c>
      <c r="S1" s="5"/>
      <c r="T1" s="5"/>
      <c r="U1" s="6"/>
      <c r="V1" s="5" t="s">
        <v>4</v>
      </c>
      <c r="W1" s="5"/>
      <c r="X1" s="5"/>
      <c r="Y1" s="5"/>
      <c r="Z1" s="5"/>
      <c r="AA1" s="7"/>
      <c r="AB1" s="8" t="s">
        <v>5</v>
      </c>
      <c r="AC1" s="8" t="s">
        <v>6</v>
      </c>
      <c r="AD1" s="7"/>
      <c r="AE1" s="8" t="s">
        <v>7</v>
      </c>
      <c r="AF1" s="8"/>
      <c r="AG1" s="8" t="s">
        <v>8</v>
      </c>
      <c r="AH1" s="8"/>
      <c r="AI1" s="1" t="s">
        <v>9</v>
      </c>
      <c r="AJ1" s="10"/>
      <c r="AK1" s="11" t="s">
        <v>10</v>
      </c>
      <c r="AL1" s="8" t="s">
        <v>11</v>
      </c>
      <c r="AM1" s="8" t="s">
        <v>12</v>
      </c>
      <c r="AN1" s="12" t="s">
        <v>13</v>
      </c>
      <c r="AO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45562</v>
      </c>
      <c r="F2" s="15" t="n">
        <f aca="false">E2+14</f>
        <v>45576</v>
      </c>
      <c r="G2" s="15" t="n">
        <f aca="false">F2+14</f>
        <v>45590</v>
      </c>
      <c r="H2" s="15" t="n">
        <f aca="false">G2+14</f>
        <v>45604</v>
      </c>
      <c r="I2" s="15" t="n">
        <f aca="false">H2+14</f>
        <v>45618</v>
      </c>
      <c r="J2" s="135" t="n">
        <f aca="false">I2+7</f>
        <v>45625</v>
      </c>
      <c r="K2" s="15" t="n">
        <f aca="false">I2+14</f>
        <v>45632</v>
      </c>
      <c r="L2" s="15" t="n">
        <f aca="false">K2+14</f>
        <v>45646</v>
      </c>
      <c r="M2" s="15" t="n">
        <f aca="false">L2+7</f>
        <v>45653</v>
      </c>
      <c r="N2" s="16" t="n">
        <v>45698</v>
      </c>
      <c r="O2" s="17" t="n">
        <v>45699</v>
      </c>
      <c r="P2" s="17" t="n">
        <v>45707</v>
      </c>
      <c r="Q2" s="18"/>
      <c r="R2" s="19" t="s">
        <v>17</v>
      </c>
      <c r="S2" s="19" t="s">
        <v>18</v>
      </c>
      <c r="T2" s="19" t="s">
        <v>19</v>
      </c>
      <c r="U2" s="6"/>
      <c r="V2" s="19" t="s">
        <v>17</v>
      </c>
      <c r="W2" s="19" t="s">
        <v>20</v>
      </c>
      <c r="X2" s="19" t="s">
        <v>21</v>
      </c>
      <c r="Y2" s="19" t="s">
        <v>18</v>
      </c>
      <c r="Z2" s="19" t="s">
        <v>19</v>
      </c>
      <c r="AA2" s="7"/>
      <c r="AB2" s="8"/>
      <c r="AC2" s="8"/>
      <c r="AD2" s="21"/>
      <c r="AE2" s="22" t="s">
        <v>22</v>
      </c>
      <c r="AF2" s="22" t="s">
        <v>23</v>
      </c>
      <c r="AG2" s="22" t="s">
        <v>22</v>
      </c>
      <c r="AH2" s="22" t="s">
        <v>23</v>
      </c>
      <c r="AI2" s="1"/>
      <c r="AJ2" s="10"/>
      <c r="AK2" s="11"/>
      <c r="AL2" s="11"/>
      <c r="AM2" s="11"/>
      <c r="AN2" s="23" t="s">
        <v>24</v>
      </c>
      <c r="AO2" s="24" t="s">
        <v>25</v>
      </c>
    </row>
    <row r="3" customFormat="false" ht="15.75" hidden="false" customHeight="false" outlineLevel="0" collapsed="false">
      <c r="A3" s="25" t="n">
        <v>1</v>
      </c>
      <c r="B3" s="130" t="s">
        <v>156</v>
      </c>
      <c r="C3" s="27" t="s">
        <v>157</v>
      </c>
      <c r="D3" s="27" t="n">
        <v>465555</v>
      </c>
      <c r="E3" s="28" t="s">
        <v>45</v>
      </c>
      <c r="F3" s="28" t="s">
        <v>45</v>
      </c>
      <c r="G3" s="28" t="s">
        <v>523</v>
      </c>
      <c r="H3" s="28" t="s">
        <v>523</v>
      </c>
      <c r="I3" s="28" t="s">
        <v>523</v>
      </c>
      <c r="J3" s="28" t="s">
        <v>523</v>
      </c>
      <c r="K3" s="28" t="s">
        <v>45</v>
      </c>
      <c r="L3" s="28" t="s">
        <v>523</v>
      </c>
      <c r="M3" s="28" t="s">
        <v>551</v>
      </c>
      <c r="N3" s="29" t="s">
        <v>523</v>
      </c>
      <c r="O3" s="29"/>
      <c r="P3" s="29"/>
      <c r="Q3" s="30"/>
      <c r="R3" s="31" t="n">
        <v>2301</v>
      </c>
      <c r="S3" s="4" t="s">
        <v>573</v>
      </c>
      <c r="T3" s="163" t="n">
        <v>18.5</v>
      </c>
      <c r="U3" s="34"/>
      <c r="V3" s="39" t="n">
        <v>22301</v>
      </c>
      <c r="W3" s="107" t="n">
        <v>45646</v>
      </c>
      <c r="X3" s="107" t="n">
        <v>45698</v>
      </c>
      <c r="Y3" s="107" t="n">
        <v>45698</v>
      </c>
      <c r="Z3" s="128" t="n">
        <v>13</v>
      </c>
      <c r="AA3" s="38"/>
      <c r="AB3" s="39"/>
      <c r="AC3" s="39"/>
      <c r="AD3" s="40"/>
      <c r="AE3" s="104" t="n">
        <v>45702</v>
      </c>
      <c r="AF3" s="28" t="n">
        <v>6</v>
      </c>
      <c r="AG3" s="41"/>
      <c r="AH3" s="41"/>
      <c r="AI3" s="37" t="n">
        <f aca="false">SUM(AF3,AH3)</f>
        <v>6</v>
      </c>
      <c r="AJ3" s="42"/>
      <c r="AK3" s="43" t="str">
        <f aca="false">IF(AND(T3&gt;=12,Z3&gt;=12,AI3&gt;=6),"да","нет")</f>
        <v>да</v>
      </c>
      <c r="AL3" s="2"/>
      <c r="AM3" s="2" t="n">
        <v>30</v>
      </c>
      <c r="AN3" s="23" t="n">
        <f aca="false">SUM(T3,Z3,AB3,AC3,AI3,AM3,AL3)</f>
        <v>67.5</v>
      </c>
      <c r="AO3" s="29" t="str">
        <f aca="false">IF(AND(T3&gt;=12,Z3&gt;=12,AI3&gt;=6,AM3&gt;=24,AN3&gt;=60),"Зачет","Незачет")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185</v>
      </c>
      <c r="C4" s="27" t="s">
        <v>157</v>
      </c>
      <c r="D4" s="27" t="n">
        <v>465798</v>
      </c>
      <c r="E4" s="28" t="s">
        <v>45</v>
      </c>
      <c r="F4" s="28" t="s">
        <v>518</v>
      </c>
      <c r="G4" s="28" t="s">
        <v>45</v>
      </c>
      <c r="H4" s="28" t="s">
        <v>45</v>
      </c>
      <c r="I4" s="28" t="s">
        <v>523</v>
      </c>
      <c r="J4" s="148" t="s">
        <v>518</v>
      </c>
      <c r="K4" s="28" t="s">
        <v>518</v>
      </c>
      <c r="L4" s="28" t="s">
        <v>523</v>
      </c>
      <c r="M4" s="28" t="s">
        <v>551</v>
      </c>
      <c r="N4" s="29" t="s">
        <v>523</v>
      </c>
      <c r="O4" s="29"/>
      <c r="P4" s="29" t="s">
        <v>523</v>
      </c>
      <c r="Q4" s="30"/>
      <c r="R4" s="31" t="n">
        <v>2302</v>
      </c>
      <c r="S4" s="126" t="n">
        <v>45698</v>
      </c>
      <c r="T4" s="163" t="n">
        <v>12</v>
      </c>
      <c r="U4" s="34"/>
      <c r="V4" s="39" t="n">
        <v>23029</v>
      </c>
      <c r="W4" s="107" t="n">
        <v>45715</v>
      </c>
      <c r="X4" s="107" t="n">
        <v>45715</v>
      </c>
      <c r="Y4" s="107" t="n">
        <v>45715</v>
      </c>
      <c r="Z4" s="128" t="n">
        <v>12</v>
      </c>
      <c r="AA4" s="38"/>
      <c r="AB4" s="39"/>
      <c r="AC4" s="39"/>
      <c r="AD4" s="40"/>
      <c r="AE4" s="104" t="n">
        <v>45702</v>
      </c>
      <c r="AF4" s="28" t="n">
        <v>6</v>
      </c>
      <c r="AG4" s="41"/>
      <c r="AH4" s="41"/>
      <c r="AI4" s="37" t="n">
        <f aca="false">SUM(AF4,AH4)</f>
        <v>6</v>
      </c>
      <c r="AJ4" s="42"/>
      <c r="AK4" s="43" t="str">
        <f aca="false">IF(AND(T4&gt;=12,Z4&gt;=12,AI4&gt;=6),"да","нет")</f>
        <v>да</v>
      </c>
      <c r="AL4" s="2"/>
      <c r="AM4" s="2" t="n">
        <v>31</v>
      </c>
      <c r="AN4" s="23" t="n">
        <f aca="false">SUM(T4,Z4,AB4,AC4,AI4,AM4,AL4)</f>
        <v>61</v>
      </c>
      <c r="AO4" s="29" t="str">
        <f aca="false">IF(AND(T4&gt;=12,Z4&gt;=12,AI4&gt;=6,AM4&gt;=24,AN4&gt;=60),"Зачет","Незачет")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513</v>
      </c>
      <c r="C5" s="27" t="s">
        <v>157</v>
      </c>
      <c r="D5" s="27" t="n">
        <v>466047</v>
      </c>
      <c r="E5" s="28" t="s">
        <v>45</v>
      </c>
      <c r="F5" s="28" t="s">
        <v>45</v>
      </c>
      <c r="G5" s="28" t="s">
        <v>523</v>
      </c>
      <c r="H5" s="28" t="s">
        <v>523</v>
      </c>
      <c r="I5" s="28" t="s">
        <v>45</v>
      </c>
      <c r="J5" s="148" t="s">
        <v>523</v>
      </c>
      <c r="K5" s="28" t="s">
        <v>523</v>
      </c>
      <c r="L5" s="28" t="s">
        <v>523</v>
      </c>
      <c r="M5" s="28" t="s">
        <v>551</v>
      </c>
      <c r="N5" s="29" t="s">
        <v>551</v>
      </c>
      <c r="O5" s="29" t="s">
        <v>551</v>
      </c>
      <c r="P5" s="29"/>
      <c r="Q5" s="30"/>
      <c r="R5" s="31" t="n">
        <v>2303</v>
      </c>
      <c r="S5" s="4" t="s">
        <v>574</v>
      </c>
      <c r="T5" s="163" t="n">
        <v>19.5</v>
      </c>
      <c r="U5" s="34"/>
      <c r="V5" s="39" t="n">
        <v>23032</v>
      </c>
      <c r="W5" s="164" t="n">
        <v>45632</v>
      </c>
      <c r="X5" s="107" t="n">
        <v>45646</v>
      </c>
      <c r="Y5" s="107" t="n">
        <v>45646</v>
      </c>
      <c r="Z5" s="128" t="n">
        <v>19.8</v>
      </c>
      <c r="AA5" s="38"/>
      <c r="AB5" s="39"/>
      <c r="AC5" s="39"/>
      <c r="AD5" s="40"/>
      <c r="AE5" s="129" t="n">
        <v>45647</v>
      </c>
      <c r="AF5" s="28" t="n">
        <v>6</v>
      </c>
      <c r="AG5" s="41"/>
      <c r="AH5" s="41"/>
      <c r="AI5" s="37" t="n">
        <f aca="false">SUM(AF5,AH5)</f>
        <v>6</v>
      </c>
      <c r="AJ5" s="42"/>
      <c r="AK5" s="43" t="str">
        <f aca="false">IF(AND(T5&gt;=12,Z5&gt;=12,AI5&gt;=6),"да","нет")</f>
        <v>да</v>
      </c>
      <c r="AL5" s="2"/>
      <c r="AM5" s="2" t="n">
        <v>40</v>
      </c>
      <c r="AN5" s="23" t="n">
        <f aca="false">SUM(T5,Z5,AB5,AC5,AI5,AM5,AL5)</f>
        <v>85.3</v>
      </c>
      <c r="AO5" s="29" t="str">
        <f aca="false">IF(AND(T5&gt;=12,Z5&gt;=12,AI5&gt;=6,AM5&gt;=24,AN5&gt;=60),"Зачет","Незачет")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213</v>
      </c>
      <c r="C6" s="27" t="s">
        <v>157</v>
      </c>
      <c r="D6" s="27" t="n">
        <v>343054</v>
      </c>
      <c r="E6" s="28" t="s">
        <v>45</v>
      </c>
      <c r="F6" s="28" t="s">
        <v>45</v>
      </c>
      <c r="G6" s="28" t="s">
        <v>523</v>
      </c>
      <c r="H6" s="28" t="s">
        <v>523</v>
      </c>
      <c r="I6" s="28" t="s">
        <v>518</v>
      </c>
      <c r="J6" s="148" t="s">
        <v>518</v>
      </c>
      <c r="K6" s="28" t="s">
        <v>518</v>
      </c>
      <c r="L6" s="28" t="s">
        <v>518</v>
      </c>
      <c r="M6" s="28" t="s">
        <v>551</v>
      </c>
      <c r="N6" s="29"/>
      <c r="O6" s="29"/>
      <c r="P6" s="29"/>
      <c r="Q6" s="30"/>
      <c r="R6" s="31" t="n">
        <v>2304</v>
      </c>
      <c r="S6" s="4" t="s">
        <v>574</v>
      </c>
      <c r="T6" s="163" t="n">
        <v>0.01</v>
      </c>
      <c r="U6" s="34"/>
      <c r="V6" s="39"/>
      <c r="W6" s="164"/>
      <c r="X6" s="164"/>
      <c r="Y6" s="164"/>
      <c r="Z6" s="128"/>
      <c r="AA6" s="38"/>
      <c r="AB6" s="39"/>
      <c r="AC6" s="39"/>
      <c r="AD6" s="44"/>
      <c r="AE6" s="129" t="n">
        <v>45647</v>
      </c>
      <c r="AF6" s="28" t="n">
        <v>0</v>
      </c>
      <c r="AG6" s="36"/>
      <c r="AH6" s="36"/>
      <c r="AI6" s="37" t="n">
        <f aca="false">SUM(AF6,AH6)</f>
        <v>0</v>
      </c>
      <c r="AJ6" s="42"/>
      <c r="AK6" s="43" t="str">
        <f aca="false">IF(AND(T6&gt;=12,Z6&gt;=12,AI6&gt;=6),"да","нет")</f>
        <v>нет</v>
      </c>
      <c r="AL6" s="2"/>
      <c r="AM6" s="2"/>
      <c r="AN6" s="23" t="n">
        <f aca="false">SUM(T6,Z6,AB6,AC6,AI6,AM6,AL6)</f>
        <v>0.01</v>
      </c>
      <c r="AO6" s="29" t="str">
        <f aca="false">IF(AND(T6&gt;=12,Z6&gt;=12,AI6&gt;=6,AM6&gt;=24,AN6&gt;=60),"Зачет","Незачет")</f>
        <v>Незачет</v>
      </c>
    </row>
    <row r="7" customFormat="false" ht="15.75" hidden="false" customHeight="false" outlineLevel="0" collapsed="false">
      <c r="A7" s="25" t="n">
        <v>5</v>
      </c>
      <c r="B7" s="26" t="s">
        <v>254</v>
      </c>
      <c r="C7" s="27" t="s">
        <v>157</v>
      </c>
      <c r="D7" s="27" t="n">
        <v>411640</v>
      </c>
      <c r="E7" s="28" t="s">
        <v>518</v>
      </c>
      <c r="F7" s="28" t="s">
        <v>518</v>
      </c>
      <c r="G7" s="28" t="s">
        <v>518</v>
      </c>
      <c r="H7" s="28" t="s">
        <v>518</v>
      </c>
      <c r="I7" s="28" t="s">
        <v>518</v>
      </c>
      <c r="J7" s="148" t="s">
        <v>518</v>
      </c>
      <c r="K7" s="148" t="s">
        <v>518</v>
      </c>
      <c r="L7" s="148" t="s">
        <v>518</v>
      </c>
      <c r="M7" s="148" t="s">
        <v>551</v>
      </c>
      <c r="N7" s="29" t="s">
        <v>551</v>
      </c>
      <c r="O7" s="29" t="s">
        <v>551</v>
      </c>
      <c r="P7" s="29"/>
      <c r="Q7" s="30"/>
      <c r="R7" s="31" t="n">
        <v>2305</v>
      </c>
      <c r="S7" s="4" t="s">
        <v>575</v>
      </c>
      <c r="T7" s="163" t="n">
        <v>18</v>
      </c>
      <c r="U7" s="34"/>
      <c r="V7" s="39" t="n">
        <v>23789</v>
      </c>
      <c r="W7" s="107" t="n">
        <v>45637</v>
      </c>
      <c r="X7" s="107" t="n">
        <v>45662</v>
      </c>
      <c r="Y7" s="107" t="n">
        <v>45662</v>
      </c>
      <c r="Z7" s="128" t="n">
        <v>18</v>
      </c>
      <c r="AA7" s="38"/>
      <c r="AB7" s="39"/>
      <c r="AC7" s="39"/>
      <c r="AD7" s="44"/>
      <c r="AE7" s="104" t="n">
        <v>45651</v>
      </c>
      <c r="AF7" s="28" t="n">
        <v>6</v>
      </c>
      <c r="AG7" s="36"/>
      <c r="AH7" s="36"/>
      <c r="AI7" s="37" t="n">
        <f aca="false">SUM(AF7,AH7)</f>
        <v>6</v>
      </c>
      <c r="AJ7" s="42"/>
      <c r="AK7" s="43" t="str">
        <f aca="false">IF(AND(T7&gt;=12,Z7&gt;=12,AI7&gt;=6),"да","нет")</f>
        <v>да</v>
      </c>
      <c r="AL7" s="2"/>
      <c r="AM7" s="2" t="n">
        <v>24</v>
      </c>
      <c r="AN7" s="23" t="n">
        <f aca="false">SUM(T7,Z7,AB7,AC7,AI7,AM7,AL7)</f>
        <v>66</v>
      </c>
      <c r="AO7" s="29" t="str">
        <f aca="false">IF(AND(T7&gt;=12,Z7&gt;=12,AI7&gt;=6,AM7&gt;=24,AN7&gt;=60),"Зачет","Незачет")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260</v>
      </c>
      <c r="C8" s="27" t="s">
        <v>157</v>
      </c>
      <c r="D8" s="27" t="n">
        <v>466391</v>
      </c>
      <c r="E8" s="28" t="s">
        <v>45</v>
      </c>
      <c r="F8" s="28" t="s">
        <v>45</v>
      </c>
      <c r="G8" s="28" t="s">
        <v>45</v>
      </c>
      <c r="H8" s="28" t="s">
        <v>45</v>
      </c>
      <c r="I8" s="28" t="s">
        <v>45</v>
      </c>
      <c r="J8" s="28" t="s">
        <v>523</v>
      </c>
      <c r="K8" s="28" t="s">
        <v>523</v>
      </c>
      <c r="L8" s="28" t="s">
        <v>523</v>
      </c>
      <c r="M8" s="28" t="s">
        <v>551</v>
      </c>
      <c r="N8" s="29" t="s">
        <v>523</v>
      </c>
      <c r="O8" s="29"/>
      <c r="P8" s="29"/>
      <c r="Q8" s="30"/>
      <c r="R8" s="31" t="n">
        <v>2306</v>
      </c>
      <c r="S8" s="126" t="n">
        <v>45698</v>
      </c>
      <c r="T8" s="163" t="n">
        <v>13</v>
      </c>
      <c r="U8" s="34"/>
      <c r="V8" s="39" t="n">
        <v>23066</v>
      </c>
      <c r="W8" s="107" t="n">
        <v>45701</v>
      </c>
      <c r="X8" s="107" t="n">
        <v>45707</v>
      </c>
      <c r="Y8" s="107" t="n">
        <v>45707</v>
      </c>
      <c r="Z8" s="128" t="n">
        <v>12</v>
      </c>
      <c r="AA8" s="38"/>
      <c r="AB8" s="39"/>
      <c r="AC8" s="39"/>
      <c r="AD8" s="40"/>
      <c r="AE8" s="104" t="n">
        <v>45702</v>
      </c>
      <c r="AF8" s="28" t="n">
        <v>6</v>
      </c>
      <c r="AG8" s="41"/>
      <c r="AH8" s="41"/>
      <c r="AI8" s="37" t="n">
        <f aca="false">SUM(AF8,AH8)</f>
        <v>6</v>
      </c>
      <c r="AJ8" s="42"/>
      <c r="AK8" s="43" t="str">
        <f aca="false">IF(AND(T8&gt;=12,Z8&gt;=12,AI8&gt;=6),"да","нет")</f>
        <v>да</v>
      </c>
      <c r="AL8" s="2"/>
      <c r="AM8" s="2" t="n">
        <v>29.5</v>
      </c>
      <c r="AN8" s="23" t="n">
        <f aca="false">SUM(T8,Z8,AB8,AC8,AI8,AM8,AL8)</f>
        <v>60.5</v>
      </c>
      <c r="AO8" s="29" t="str">
        <f aca="false">IF(AND(T8&gt;=12,Z8&gt;=12,AI8&gt;=6,AM8&gt;=24,AN8&gt;=60),"Зачет","Незачет")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270</v>
      </c>
      <c r="C9" s="27" t="s">
        <v>157</v>
      </c>
      <c r="D9" s="27" t="n">
        <v>466478</v>
      </c>
      <c r="E9" s="28" t="s">
        <v>45</v>
      </c>
      <c r="F9" s="28" t="s">
        <v>45</v>
      </c>
      <c r="G9" s="28" t="s">
        <v>45</v>
      </c>
      <c r="H9" s="28" t="s">
        <v>45</v>
      </c>
      <c r="I9" s="28" t="s">
        <v>518</v>
      </c>
      <c r="J9" s="148" t="s">
        <v>45</v>
      </c>
      <c r="K9" s="28" t="s">
        <v>523</v>
      </c>
      <c r="L9" s="28" t="s">
        <v>523</v>
      </c>
      <c r="M9" s="28" t="s">
        <v>523</v>
      </c>
      <c r="N9" s="29" t="s">
        <v>523</v>
      </c>
      <c r="O9" s="29"/>
      <c r="P9" s="29"/>
      <c r="Q9" s="30"/>
      <c r="R9" s="31" t="n">
        <v>2307</v>
      </c>
      <c r="S9" s="126" t="n">
        <v>45653</v>
      </c>
      <c r="T9" s="163" t="n">
        <v>15</v>
      </c>
      <c r="U9" s="34"/>
      <c r="V9" s="39" t="n">
        <v>23077</v>
      </c>
      <c r="W9" s="107" t="n">
        <v>45701</v>
      </c>
      <c r="X9" s="107" t="n">
        <v>45701</v>
      </c>
      <c r="Y9" s="107" t="n">
        <v>45701</v>
      </c>
      <c r="Z9" s="128" t="n">
        <v>12</v>
      </c>
      <c r="AA9" s="38"/>
      <c r="AB9" s="39"/>
      <c r="AC9" s="39"/>
      <c r="AD9" s="40"/>
      <c r="AE9" s="104" t="n">
        <v>45652</v>
      </c>
      <c r="AF9" s="28" t="n">
        <v>6</v>
      </c>
      <c r="AG9" s="41"/>
      <c r="AH9" s="41"/>
      <c r="AI9" s="37" t="n">
        <f aca="false">SUM(AF9,AH9)</f>
        <v>6</v>
      </c>
      <c r="AJ9" s="42"/>
      <c r="AK9" s="43" t="str">
        <f aca="false">IF(AND(T9&gt;=12,Z9&gt;=12,AI9&gt;=6),"да","нет")</f>
        <v>да</v>
      </c>
      <c r="AL9" s="2"/>
      <c r="AM9" s="2" t="n">
        <v>27.5</v>
      </c>
      <c r="AN9" s="23" t="n">
        <f aca="false">SUM(T9,Z9,AB9,AC9,AI9,AM9,AL9)</f>
        <v>60.5</v>
      </c>
      <c r="AO9" s="29" t="str">
        <f aca="false">IF(AND(T9&gt;=12,Z9&gt;=12,AI9&gt;=6,AM9&gt;=24,AN9&gt;=60),"Зачет","Незачет")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271</v>
      </c>
      <c r="C10" s="27" t="s">
        <v>157</v>
      </c>
      <c r="D10" s="27" t="n">
        <v>466481</v>
      </c>
      <c r="E10" s="28" t="s">
        <v>45</v>
      </c>
      <c r="F10" s="28" t="s">
        <v>45</v>
      </c>
      <c r="G10" s="28" t="s">
        <v>45</v>
      </c>
      <c r="H10" s="28" t="s">
        <v>45</v>
      </c>
      <c r="I10" s="28" t="s">
        <v>523</v>
      </c>
      <c r="J10" s="148" t="s">
        <v>45</v>
      </c>
      <c r="K10" s="28" t="s">
        <v>523</v>
      </c>
      <c r="L10" s="28" t="s">
        <v>523</v>
      </c>
      <c r="M10" s="28" t="s">
        <v>551</v>
      </c>
      <c r="N10" s="29" t="s">
        <v>523</v>
      </c>
      <c r="O10" s="29"/>
      <c r="P10" s="29"/>
      <c r="Q10" s="30"/>
      <c r="R10" s="31" t="n">
        <v>2308</v>
      </c>
      <c r="S10" s="126" t="n">
        <v>45698</v>
      </c>
      <c r="T10" s="163" t="n">
        <v>13</v>
      </c>
      <c r="U10" s="34"/>
      <c r="V10" s="39" t="n">
        <v>23089</v>
      </c>
      <c r="W10" s="107" t="n">
        <v>45701</v>
      </c>
      <c r="X10" s="107" t="n">
        <v>45701</v>
      </c>
      <c r="Y10" s="107" t="n">
        <v>45701</v>
      </c>
      <c r="Z10" s="128" t="n">
        <v>12</v>
      </c>
      <c r="AA10" s="38"/>
      <c r="AB10" s="39"/>
      <c r="AC10" s="39"/>
      <c r="AD10" s="44"/>
      <c r="AE10" s="104" t="n">
        <v>45702</v>
      </c>
      <c r="AF10" s="28" t="n">
        <v>6</v>
      </c>
      <c r="AG10" s="36"/>
      <c r="AH10" s="36"/>
      <c r="AI10" s="37" t="n">
        <f aca="false">SUM(AF10,AH10)</f>
        <v>6</v>
      </c>
      <c r="AJ10" s="42"/>
      <c r="AK10" s="43" t="str">
        <f aca="false">IF(AND(T10&gt;=12,Z10&gt;=12,AI10&gt;=6),"да","нет")</f>
        <v>да</v>
      </c>
      <c r="AL10" s="2"/>
      <c r="AM10" s="2" t="n">
        <v>29.5</v>
      </c>
      <c r="AN10" s="23" t="n">
        <f aca="false">SUM(T10,Z10,AB10,AC10,AI10,AM10,AL10)</f>
        <v>60.5</v>
      </c>
      <c r="AO10" s="29" t="str">
        <f aca="false">IF(AND(T10&gt;=12,Z10&gt;=12,AI10&gt;=6,AM10&gt;=24,AN10&gt;=60),"Зачет","Незачет")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274</v>
      </c>
      <c r="C11" s="27" t="s">
        <v>157</v>
      </c>
      <c r="D11" s="27" t="n">
        <v>472154</v>
      </c>
      <c r="E11" s="28" t="s">
        <v>45</v>
      </c>
      <c r="F11" s="28" t="s">
        <v>45</v>
      </c>
      <c r="G11" s="28" t="s">
        <v>523</v>
      </c>
      <c r="H11" s="28" t="s">
        <v>45</v>
      </c>
      <c r="I11" s="28" t="s">
        <v>523</v>
      </c>
      <c r="J11" s="28" t="s">
        <v>523</v>
      </c>
      <c r="K11" s="28" t="s">
        <v>523</v>
      </c>
      <c r="L11" s="28" t="s">
        <v>523</v>
      </c>
      <c r="M11" s="28" t="s">
        <v>523</v>
      </c>
      <c r="N11" s="29" t="s">
        <v>551</v>
      </c>
      <c r="O11" s="29" t="s">
        <v>551</v>
      </c>
      <c r="P11" s="29"/>
      <c r="Q11" s="30"/>
      <c r="R11" s="31" t="n">
        <v>2309</v>
      </c>
      <c r="S11" s="4" t="s">
        <v>576</v>
      </c>
      <c r="T11" s="163" t="n">
        <v>18</v>
      </c>
      <c r="U11" s="34"/>
      <c r="V11" s="39" t="n">
        <v>23098</v>
      </c>
      <c r="W11" s="107" t="n">
        <v>45646</v>
      </c>
      <c r="X11" s="107" t="n">
        <v>45653</v>
      </c>
      <c r="Y11" s="107" t="n">
        <v>45653</v>
      </c>
      <c r="Z11" s="128" t="n">
        <v>18</v>
      </c>
      <c r="AA11" s="38"/>
      <c r="AB11" s="39"/>
      <c r="AC11" s="39"/>
      <c r="AD11" s="40"/>
      <c r="AE11" s="129" t="n">
        <v>45647</v>
      </c>
      <c r="AF11" s="28" t="n">
        <v>8</v>
      </c>
      <c r="AG11" s="41"/>
      <c r="AH11" s="41"/>
      <c r="AI11" s="37" t="n">
        <f aca="false">SUM(AF11,AH11)</f>
        <v>8</v>
      </c>
      <c r="AJ11" s="42"/>
      <c r="AK11" s="43" t="str">
        <f aca="false">IF(AND(T11&gt;=12,Z11&gt;=12,AI11&gt;=6),"да","нет")</f>
        <v>да</v>
      </c>
      <c r="AL11" s="2"/>
      <c r="AM11" s="2" t="n">
        <v>40</v>
      </c>
      <c r="AN11" s="23" t="n">
        <f aca="false">SUM(T11,Z11,AB11,AC11,AI11,AM11,AL11)</f>
        <v>84</v>
      </c>
      <c r="AO11" s="29" t="str">
        <f aca="false">IF(AND(T11&gt;=12,Z11&gt;=12,AI11&gt;=6,AM11&gt;=24,AN11&gt;=60),"Зачет","Незачет")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288</v>
      </c>
      <c r="C12" s="27" t="s">
        <v>157</v>
      </c>
      <c r="D12" s="27" t="n">
        <v>466560</v>
      </c>
      <c r="E12" s="28" t="s">
        <v>45</v>
      </c>
      <c r="F12" s="28" t="s">
        <v>45</v>
      </c>
      <c r="G12" s="28" t="s">
        <v>523</v>
      </c>
      <c r="H12" s="28" t="s">
        <v>518</v>
      </c>
      <c r="I12" s="28" t="s">
        <v>523</v>
      </c>
      <c r="J12" s="148" t="s">
        <v>518</v>
      </c>
      <c r="K12" s="28" t="s">
        <v>523</v>
      </c>
      <c r="L12" s="28" t="s">
        <v>523</v>
      </c>
      <c r="M12" s="28" t="s">
        <v>523</v>
      </c>
      <c r="N12" s="29" t="s">
        <v>551</v>
      </c>
      <c r="O12" s="29" t="s">
        <v>551</v>
      </c>
      <c r="P12" s="29"/>
      <c r="Q12" s="30"/>
      <c r="R12" s="31" t="n">
        <v>2310</v>
      </c>
      <c r="S12" s="4" t="s">
        <v>576</v>
      </c>
      <c r="T12" s="163" t="n">
        <v>15</v>
      </c>
      <c r="U12" s="34"/>
      <c r="V12" s="39" t="n">
        <v>2310</v>
      </c>
      <c r="W12" s="107" t="n">
        <v>45646</v>
      </c>
      <c r="X12" s="107" t="n">
        <v>45653</v>
      </c>
      <c r="Y12" s="107" t="n">
        <v>45653</v>
      </c>
      <c r="Z12" s="128" t="n">
        <v>17</v>
      </c>
      <c r="AA12" s="38"/>
      <c r="AB12" s="39"/>
      <c r="AC12" s="39"/>
      <c r="AD12" s="40"/>
      <c r="AE12" s="104" t="n">
        <v>45652</v>
      </c>
      <c r="AF12" s="28" t="n">
        <v>6</v>
      </c>
      <c r="AG12" s="41"/>
      <c r="AH12" s="41"/>
      <c r="AI12" s="37" t="n">
        <f aca="false">SUM(AF12,AH12)</f>
        <v>6</v>
      </c>
      <c r="AJ12" s="42"/>
      <c r="AK12" s="43" t="str">
        <f aca="false">IF(AND(T12&gt;=12,Z12&gt;=12,AI12&gt;=6),"да","нет")</f>
        <v>да</v>
      </c>
      <c r="AL12" s="2"/>
      <c r="AM12" s="2" t="n">
        <v>35</v>
      </c>
      <c r="AN12" s="23" t="n">
        <f aca="false">SUM(T12,Z12,AB12,AC12,AI12,AM12,AL12)</f>
        <v>73</v>
      </c>
      <c r="AO12" s="29" t="str">
        <f aca="false">IF(AND(T12&gt;=12,Z12&gt;=12,AI12&gt;=6,AM12&gt;=24,AN12&gt;=60),"Зачет","Незачет")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26" t="s">
        <v>301</v>
      </c>
      <c r="C13" s="27" t="s">
        <v>157</v>
      </c>
      <c r="D13" s="27" t="n">
        <v>408048</v>
      </c>
      <c r="E13" s="28" t="s">
        <v>45</v>
      </c>
      <c r="F13" s="28" t="s">
        <v>45</v>
      </c>
      <c r="G13" s="28" t="s">
        <v>45</v>
      </c>
      <c r="H13" s="28" t="s">
        <v>45</v>
      </c>
      <c r="I13" s="28" t="s">
        <v>45</v>
      </c>
      <c r="J13" s="148" t="s">
        <v>518</v>
      </c>
      <c r="K13" s="28" t="s">
        <v>523</v>
      </c>
      <c r="L13" s="28" t="s">
        <v>523</v>
      </c>
      <c r="M13" s="28" t="s">
        <v>551</v>
      </c>
      <c r="N13" s="29"/>
      <c r="O13" s="29" t="s">
        <v>523</v>
      </c>
      <c r="P13" s="29"/>
      <c r="Q13" s="30"/>
      <c r="R13" s="31" t="n">
        <v>2311</v>
      </c>
      <c r="S13" s="126" t="n">
        <v>45699</v>
      </c>
      <c r="T13" s="163" t="n">
        <v>12</v>
      </c>
      <c r="U13" s="34"/>
      <c r="V13" s="39" t="n">
        <v>23112</v>
      </c>
      <c r="W13" s="164"/>
      <c r="X13" s="164"/>
      <c r="Y13" s="164"/>
      <c r="Z13" s="128"/>
      <c r="AA13" s="38"/>
      <c r="AB13" s="39"/>
      <c r="AC13" s="39"/>
      <c r="AD13" s="40"/>
      <c r="AE13" s="104" t="n">
        <v>45702</v>
      </c>
      <c r="AF13" s="28" t="n">
        <v>0.2</v>
      </c>
      <c r="AG13" s="41"/>
      <c r="AH13" s="41"/>
      <c r="AI13" s="37" t="n">
        <f aca="false">SUM(AF13,AH13)</f>
        <v>0.2</v>
      </c>
      <c r="AJ13" s="42"/>
      <c r="AK13" s="43" t="str">
        <f aca="false">IF(AND(T13&gt;=12,Z13&gt;=12,AI13&gt;=6),"да","нет")</f>
        <v>нет</v>
      </c>
      <c r="AL13" s="2"/>
      <c r="AM13" s="2"/>
      <c r="AN13" s="23" t="n">
        <f aca="false">SUM(T13,Z13,AB13,AC13,AI13,AM13,AL13)</f>
        <v>12.2</v>
      </c>
      <c r="AO13" s="29" t="str">
        <f aca="false">IF(AND(T13&gt;=12,Z13&gt;=12,AI13&gt;=6,AM13&gt;=24,AN13&gt;=60),"Зачет","Незачет")</f>
        <v>Незачет</v>
      </c>
    </row>
    <row r="14" customFormat="false" ht="15.75" hidden="false" customHeight="false" outlineLevel="0" collapsed="false">
      <c r="A14" s="25" t="n">
        <v>12</v>
      </c>
      <c r="B14" s="45" t="s">
        <v>312</v>
      </c>
      <c r="C14" s="27" t="s">
        <v>157</v>
      </c>
      <c r="D14" s="27" t="n">
        <v>409195</v>
      </c>
      <c r="E14" s="28" t="s">
        <v>45</v>
      </c>
      <c r="F14" s="28" t="s">
        <v>45</v>
      </c>
      <c r="G14" s="28" t="s">
        <v>45</v>
      </c>
      <c r="H14" s="28" t="s">
        <v>45</v>
      </c>
      <c r="I14" s="28" t="s">
        <v>45</v>
      </c>
      <c r="J14" s="148" t="s">
        <v>518</v>
      </c>
      <c r="K14" s="28" t="s">
        <v>523</v>
      </c>
      <c r="L14" s="28" t="s">
        <v>523</v>
      </c>
      <c r="M14" s="28" t="s">
        <v>551</v>
      </c>
      <c r="N14" s="29"/>
      <c r="O14" s="29"/>
      <c r="P14" s="29"/>
      <c r="Q14" s="30"/>
      <c r="R14" s="31" t="n">
        <v>2312</v>
      </c>
      <c r="S14" s="126" t="n">
        <v>45646</v>
      </c>
      <c r="T14" s="163" t="n">
        <v>0.01</v>
      </c>
      <c r="U14" s="34"/>
      <c r="V14" s="39"/>
      <c r="W14" s="164"/>
      <c r="X14" s="164"/>
      <c r="Y14" s="164"/>
      <c r="Z14" s="128"/>
      <c r="AA14" s="38"/>
      <c r="AB14" s="39"/>
      <c r="AC14" s="39"/>
      <c r="AD14" s="40"/>
      <c r="AE14" s="104" t="n">
        <v>45652</v>
      </c>
      <c r="AF14" s="28" t="n">
        <v>0.1</v>
      </c>
      <c r="AG14" s="41"/>
      <c r="AH14" s="41"/>
      <c r="AI14" s="37" t="n">
        <f aca="false">SUM(AF14,AH14)</f>
        <v>0.1</v>
      </c>
      <c r="AJ14" s="42"/>
      <c r="AK14" s="43" t="str">
        <f aca="false">IF(AND(T14&gt;=12,Z14&gt;=12,AI14&gt;=6),"да","нет")</f>
        <v>нет</v>
      </c>
      <c r="AL14" s="2"/>
      <c r="AM14" s="2"/>
      <c r="AN14" s="23" t="n">
        <f aca="false">SUM(T14,Z14,AB14,AC14,AI14,AM14,AL14)</f>
        <v>0.11</v>
      </c>
      <c r="AO14" s="29" t="str">
        <f aca="false">IF(AND(T14&gt;=12,Z14&gt;=12,AI14&gt;=6,AM14&gt;=24,AN14&gt;=60),"Зачет","Незачет")</f>
        <v>Незачет</v>
      </c>
    </row>
    <row r="15" customFormat="false" ht="15.75" hidden="false" customHeight="false" outlineLevel="0" collapsed="false">
      <c r="A15" s="25" t="n">
        <v>13</v>
      </c>
      <c r="B15" s="26" t="s">
        <v>318</v>
      </c>
      <c r="C15" s="27" t="s">
        <v>157</v>
      </c>
      <c r="D15" s="27" t="n">
        <v>466816</v>
      </c>
      <c r="E15" s="28" t="s">
        <v>45</v>
      </c>
      <c r="F15" s="28" t="s">
        <v>45</v>
      </c>
      <c r="G15" s="28" t="s">
        <v>523</v>
      </c>
      <c r="H15" s="28" t="s">
        <v>523</v>
      </c>
      <c r="I15" s="28" t="s">
        <v>523</v>
      </c>
      <c r="J15" s="28" t="s">
        <v>523</v>
      </c>
      <c r="K15" s="28" t="s">
        <v>523</v>
      </c>
      <c r="L15" s="28" t="s">
        <v>551</v>
      </c>
      <c r="M15" s="28" t="s">
        <v>551</v>
      </c>
      <c r="N15" s="29" t="s">
        <v>551</v>
      </c>
      <c r="O15" s="29" t="s">
        <v>551</v>
      </c>
      <c r="P15" s="29"/>
      <c r="Q15" s="30"/>
      <c r="R15" s="31" t="n">
        <v>2313</v>
      </c>
      <c r="S15" s="4" t="n">
        <v>22.11</v>
      </c>
      <c r="T15" s="163" t="n">
        <v>18.5</v>
      </c>
      <c r="U15" s="34"/>
      <c r="V15" s="39" t="n">
        <v>2313</v>
      </c>
      <c r="W15" s="164" t="n">
        <v>45625</v>
      </c>
      <c r="X15" s="164" t="n">
        <v>45632</v>
      </c>
      <c r="Y15" s="164" t="n">
        <v>45632</v>
      </c>
      <c r="Z15" s="128" t="n">
        <v>19</v>
      </c>
      <c r="AA15" s="38"/>
      <c r="AB15" s="39"/>
      <c r="AC15" s="39"/>
      <c r="AD15" s="40"/>
      <c r="AE15" s="129" t="n">
        <v>45647</v>
      </c>
      <c r="AF15" s="28" t="n">
        <v>6</v>
      </c>
      <c r="AG15" s="41"/>
      <c r="AH15" s="41"/>
      <c r="AI15" s="37" t="n">
        <f aca="false">SUM(AF15,AH15)</f>
        <v>6</v>
      </c>
      <c r="AJ15" s="42"/>
      <c r="AK15" s="43" t="str">
        <f aca="false">IF(AND(T15&gt;=12,Z15&gt;=12,AI15&gt;=6),"да","нет")</f>
        <v>да</v>
      </c>
      <c r="AL15" s="2"/>
      <c r="AM15" s="2" t="n">
        <v>40</v>
      </c>
      <c r="AN15" s="23" t="n">
        <f aca="false">SUM(T15,Z15,AB15,AC15,AI15,AM15,AL15)</f>
        <v>83.5</v>
      </c>
      <c r="AO15" s="29" t="str">
        <f aca="false">IF(AND(T15&gt;=12,Z15&gt;=12,AI15&gt;=6,AM15&gt;=24,AN15&gt;=60),"Зачет","Незачет")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326</v>
      </c>
      <c r="C16" s="27" t="s">
        <v>157</v>
      </c>
      <c r="D16" s="27" t="n">
        <v>466855</v>
      </c>
      <c r="E16" s="28" t="s">
        <v>45</v>
      </c>
      <c r="F16" s="28" t="s">
        <v>45</v>
      </c>
      <c r="G16" s="28" t="s">
        <v>45</v>
      </c>
      <c r="H16" s="28" t="s">
        <v>45</v>
      </c>
      <c r="I16" s="28" t="s">
        <v>523</v>
      </c>
      <c r="J16" s="28" t="s">
        <v>523</v>
      </c>
      <c r="K16" s="28" t="s">
        <v>523</v>
      </c>
      <c r="L16" s="28" t="s">
        <v>523</v>
      </c>
      <c r="M16" s="28" t="s">
        <v>523</v>
      </c>
      <c r="N16" s="29" t="s">
        <v>551</v>
      </c>
      <c r="O16" s="29" t="s">
        <v>551</v>
      </c>
      <c r="P16" s="29"/>
      <c r="Q16" s="30"/>
      <c r="R16" s="31" t="n">
        <v>2314</v>
      </c>
      <c r="S16" s="4" t="s">
        <v>576</v>
      </c>
      <c r="T16" s="163" t="n">
        <v>18</v>
      </c>
      <c r="U16" s="34"/>
      <c r="V16" s="39" t="n">
        <v>23149</v>
      </c>
      <c r="W16" s="107" t="n">
        <v>45646</v>
      </c>
      <c r="X16" s="107" t="n">
        <v>45653</v>
      </c>
      <c r="Y16" s="107" t="n">
        <v>45653</v>
      </c>
      <c r="Z16" s="128" t="n">
        <v>17</v>
      </c>
      <c r="AA16" s="38"/>
      <c r="AB16" s="39"/>
      <c r="AC16" s="39"/>
      <c r="AD16" s="40"/>
      <c r="AE16" s="104" t="n">
        <v>45652</v>
      </c>
      <c r="AF16" s="28" t="n">
        <v>6</v>
      </c>
      <c r="AG16" s="41"/>
      <c r="AH16" s="41"/>
      <c r="AI16" s="37" t="n">
        <f aca="false">SUM(AF16,AH16)</f>
        <v>6</v>
      </c>
      <c r="AJ16" s="42"/>
      <c r="AK16" s="43" t="str">
        <f aca="false">IF(AND(T16&gt;=12,Z16&gt;=12,AI16&gt;=6),"да","нет")</f>
        <v>да</v>
      </c>
      <c r="AL16" s="2"/>
      <c r="AM16" s="37" t="n">
        <v>24</v>
      </c>
      <c r="AN16" s="23" t="n">
        <f aca="false">SUM(T16,Z16,AB16,AC16,AI16,AM16,AL16)</f>
        <v>65</v>
      </c>
      <c r="AO16" s="29" t="str">
        <f aca="false">IF(AND(T16&gt;=12,Z16&gt;=12,AI16&gt;=6,AM16&gt;=24,AN16&gt;=60),"Зачет","Незачет")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332</v>
      </c>
      <c r="C17" s="27" t="s">
        <v>157</v>
      </c>
      <c r="D17" s="27" t="n">
        <v>466886</v>
      </c>
      <c r="E17" s="28" t="s">
        <v>45</v>
      </c>
      <c r="F17" s="28" t="s">
        <v>518</v>
      </c>
      <c r="G17" s="28" t="s">
        <v>45</v>
      </c>
      <c r="H17" s="28" t="s">
        <v>45</v>
      </c>
      <c r="I17" s="28" t="s">
        <v>45</v>
      </c>
      <c r="J17" s="28" t="s">
        <v>45</v>
      </c>
      <c r="K17" s="28" t="s">
        <v>523</v>
      </c>
      <c r="L17" s="28" t="s">
        <v>523</v>
      </c>
      <c r="M17" s="28" t="s">
        <v>551</v>
      </c>
      <c r="N17" s="29"/>
      <c r="O17" s="29"/>
      <c r="P17" s="29"/>
      <c r="Q17" s="30"/>
      <c r="R17" s="31" t="n">
        <v>2315</v>
      </c>
      <c r="S17" s="126" t="n">
        <v>45646</v>
      </c>
      <c r="T17" s="163" t="n">
        <v>0.01</v>
      </c>
      <c r="U17" s="34"/>
      <c r="V17" s="39"/>
      <c r="W17" s="164"/>
      <c r="X17" s="164"/>
      <c r="Y17" s="164"/>
      <c r="Z17" s="128"/>
      <c r="AA17" s="38"/>
      <c r="AB17" s="39"/>
      <c r="AC17" s="39"/>
      <c r="AD17" s="40"/>
      <c r="AE17" s="104" t="n">
        <v>45652</v>
      </c>
      <c r="AF17" s="28" t="n">
        <v>0.1</v>
      </c>
      <c r="AG17" s="41"/>
      <c r="AH17" s="41"/>
      <c r="AI17" s="37" t="n">
        <f aca="false">SUM(AF17,AH17)</f>
        <v>0.1</v>
      </c>
      <c r="AJ17" s="42"/>
      <c r="AK17" s="43" t="str">
        <f aca="false">IF(AND(T17&gt;=12,Z17&gt;=12,AI17&gt;=6),"да","нет")</f>
        <v>нет</v>
      </c>
      <c r="AL17" s="2"/>
      <c r="AM17" s="2"/>
      <c r="AN17" s="23" t="n">
        <f aca="false">SUM(T17,Z17,AB17,AC17,AI17,AM17,AL17)</f>
        <v>0.11</v>
      </c>
      <c r="AO17" s="29" t="str">
        <f aca="false">IF(AND(T17&gt;=12,Z17&gt;=12,AI17&gt;=6,AM17&gt;=24,AN17&gt;=60),"Зачет","Незачет")</f>
        <v>Незачет</v>
      </c>
    </row>
    <row r="18" customFormat="false" ht="15.75" hidden="false" customHeight="false" outlineLevel="0" collapsed="false">
      <c r="A18" s="25" t="n">
        <v>16</v>
      </c>
      <c r="B18" s="26" t="s">
        <v>384</v>
      </c>
      <c r="C18" s="27" t="s">
        <v>157</v>
      </c>
      <c r="D18" s="27" t="n">
        <v>467297</v>
      </c>
      <c r="E18" s="28" t="s">
        <v>45</v>
      </c>
      <c r="F18" s="28" t="s">
        <v>45</v>
      </c>
      <c r="G18" s="28" t="s">
        <v>523</v>
      </c>
      <c r="H18" s="28" t="s">
        <v>523</v>
      </c>
      <c r="I18" s="28" t="s">
        <v>523</v>
      </c>
      <c r="J18" s="148" t="s">
        <v>45</v>
      </c>
      <c r="K18" s="28" t="s">
        <v>523</v>
      </c>
      <c r="L18" s="28" t="s">
        <v>523</v>
      </c>
      <c r="M18" s="28" t="s">
        <v>551</v>
      </c>
      <c r="N18" s="29" t="s">
        <v>551</v>
      </c>
      <c r="O18" s="29" t="s">
        <v>551</v>
      </c>
      <c r="P18" s="29"/>
      <c r="Q18" s="30"/>
      <c r="R18" s="31" t="n">
        <v>2316</v>
      </c>
      <c r="S18" s="4" t="s">
        <v>577</v>
      </c>
      <c r="T18" s="163" t="n">
        <v>18</v>
      </c>
      <c r="U18" s="34"/>
      <c r="V18" s="39" t="n">
        <v>22316</v>
      </c>
      <c r="W18" s="164" t="n">
        <v>45632</v>
      </c>
      <c r="X18" s="107" t="n">
        <v>45646</v>
      </c>
      <c r="Y18" s="107" t="n">
        <v>45646</v>
      </c>
      <c r="Z18" s="128" t="n">
        <v>19</v>
      </c>
      <c r="AA18" s="38"/>
      <c r="AB18" s="39"/>
      <c r="AC18" s="39"/>
      <c r="AD18" s="44"/>
      <c r="AE18" s="104" t="n">
        <v>45652</v>
      </c>
      <c r="AF18" s="28" t="n">
        <v>6</v>
      </c>
      <c r="AG18" s="36"/>
      <c r="AH18" s="36"/>
      <c r="AI18" s="37" t="n">
        <f aca="false">SUM(AF18,AH18)</f>
        <v>6</v>
      </c>
      <c r="AJ18" s="42"/>
      <c r="AK18" s="43" t="str">
        <f aca="false">IF(AND(T18&gt;=12,Z18&gt;=12,AI18&gt;=6),"да","нет")</f>
        <v>да</v>
      </c>
      <c r="AL18" s="2"/>
      <c r="AM18" s="2" t="n">
        <v>29</v>
      </c>
      <c r="AN18" s="23" t="n">
        <f aca="false">SUM(T18,Z18,AB18,AC18,AI18,AM18,AL18)</f>
        <v>72</v>
      </c>
      <c r="AO18" s="29" t="str">
        <f aca="false">IF(AND(T18&gt;=12,Z18&gt;=12,AI18&gt;=6,AM18&gt;=24,AN18&gt;=60),"Зачет","Незачет")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468</v>
      </c>
      <c r="C19" s="27" t="s">
        <v>157</v>
      </c>
      <c r="D19" s="27" t="n">
        <v>467883</v>
      </c>
      <c r="E19" s="28" t="s">
        <v>45</v>
      </c>
      <c r="F19" s="28" t="s">
        <v>523</v>
      </c>
      <c r="G19" s="28" t="s">
        <v>523</v>
      </c>
      <c r="H19" s="28" t="s">
        <v>523</v>
      </c>
      <c r="I19" s="28" t="s">
        <v>518</v>
      </c>
      <c r="J19" s="148" t="s">
        <v>523</v>
      </c>
      <c r="K19" s="148" t="s">
        <v>523</v>
      </c>
      <c r="L19" s="148" t="s">
        <v>523</v>
      </c>
      <c r="M19" s="148" t="s">
        <v>551</v>
      </c>
      <c r="N19" s="29" t="s">
        <v>551</v>
      </c>
      <c r="O19" s="29" t="s">
        <v>551</v>
      </c>
      <c r="P19" s="29"/>
      <c r="Q19" s="30"/>
      <c r="R19" s="31" t="n">
        <v>2317</v>
      </c>
      <c r="S19" s="4" t="s">
        <v>574</v>
      </c>
      <c r="T19" s="163" t="n">
        <v>19.8</v>
      </c>
      <c r="U19" s="34"/>
      <c r="V19" s="39" t="n">
        <v>23172</v>
      </c>
      <c r="W19" s="164" t="n">
        <v>45625</v>
      </c>
      <c r="X19" s="107" t="n">
        <v>45646</v>
      </c>
      <c r="Y19" s="107" t="n">
        <v>45646</v>
      </c>
      <c r="Z19" s="128" t="n">
        <v>18</v>
      </c>
      <c r="AA19" s="38"/>
      <c r="AB19" s="39"/>
      <c r="AC19" s="39"/>
      <c r="AD19" s="40"/>
      <c r="AE19" s="104" t="n">
        <v>45702</v>
      </c>
      <c r="AF19" s="28" t="n">
        <v>6</v>
      </c>
      <c r="AG19" s="41"/>
      <c r="AH19" s="41"/>
      <c r="AI19" s="37" t="n">
        <f aca="false">SUM(AF19,AH19)</f>
        <v>6</v>
      </c>
      <c r="AJ19" s="42"/>
      <c r="AK19" s="43" t="str">
        <f aca="false">IF(AND(T19&gt;=12,Z19&gt;=12,AI19&gt;=6),"да","нет")</f>
        <v>да</v>
      </c>
      <c r="AL19" s="2"/>
      <c r="AM19" s="2" t="n">
        <v>32</v>
      </c>
      <c r="AN19" s="23" t="n">
        <f aca="false">SUM(T19,Z19,AB19,AC19,AI19,AM19,AL19)</f>
        <v>75.8</v>
      </c>
      <c r="AO19" s="29" t="str">
        <f aca="false">IF(AND(T19&gt;=12,Z19&gt;=12,AI19&gt;=6,AM19&gt;=24,AN19&gt;=60),"Зачет","Незачет")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 t="s">
        <v>491</v>
      </c>
      <c r="C20" s="27" t="s">
        <v>157</v>
      </c>
      <c r="D20" s="27" t="n">
        <v>476020</v>
      </c>
      <c r="E20" s="28" t="s">
        <v>45</v>
      </c>
      <c r="F20" s="28" t="s">
        <v>518</v>
      </c>
      <c r="G20" s="28" t="s">
        <v>45</v>
      </c>
      <c r="H20" s="28" t="s">
        <v>45</v>
      </c>
      <c r="I20" s="28" t="s">
        <v>518</v>
      </c>
      <c r="J20" s="148" t="s">
        <v>518</v>
      </c>
      <c r="K20" s="28" t="s">
        <v>518</v>
      </c>
      <c r="L20" s="28" t="s">
        <v>518</v>
      </c>
      <c r="M20" s="28" t="s">
        <v>551</v>
      </c>
      <c r="N20" s="29"/>
      <c r="O20" s="29"/>
      <c r="P20" s="29"/>
      <c r="Q20" s="30"/>
      <c r="R20" s="31" t="n">
        <v>2318</v>
      </c>
      <c r="S20" s="137"/>
      <c r="T20" s="163"/>
      <c r="U20" s="34"/>
      <c r="V20" s="39"/>
      <c r="W20" s="164"/>
      <c r="X20" s="164"/>
      <c r="Y20" s="164"/>
      <c r="Z20" s="128"/>
      <c r="AA20" s="38"/>
      <c r="AB20" s="39"/>
      <c r="AC20" s="39"/>
      <c r="AD20" s="40"/>
      <c r="AE20" s="104" t="n">
        <v>45702</v>
      </c>
      <c r="AF20" s="28" t="n">
        <v>0.2</v>
      </c>
      <c r="AG20" s="41"/>
      <c r="AH20" s="41"/>
      <c r="AI20" s="37" t="n">
        <f aca="false">SUM(AF20,AH20)</f>
        <v>0.2</v>
      </c>
      <c r="AJ20" s="42"/>
      <c r="AK20" s="43" t="str">
        <f aca="false">IF(AND(T20&gt;=12,Z20&gt;=12,AI20&gt;=6),"да","нет")</f>
        <v>нет</v>
      </c>
      <c r="AL20" s="2"/>
      <c r="AM20" s="2"/>
      <c r="AN20" s="23" t="n">
        <f aca="false">SUM(T20,Z20,AB20,AC20,AI20,AM20,AL20)</f>
        <v>0.2</v>
      </c>
      <c r="AO20" s="29" t="str">
        <f aca="false">IF(AND(T20&gt;=12,Z20&gt;=12,AI20&gt;=6,AM20&gt;=24,AN20&gt;=60),"Зачет","Незачет")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26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9"/>
      <c r="O21" s="29"/>
      <c r="P21" s="29"/>
      <c r="Q21" s="30"/>
      <c r="R21" s="46"/>
      <c r="S21" s="36"/>
      <c r="T21" s="37"/>
      <c r="U21" s="47"/>
      <c r="V21" s="2"/>
      <c r="W21" s="36"/>
      <c r="X21" s="36"/>
      <c r="Y21" s="36"/>
      <c r="Z21" s="37"/>
      <c r="AA21" s="38"/>
      <c r="AB21" s="39"/>
      <c r="AC21" s="39"/>
      <c r="AD21" s="48"/>
      <c r="AE21" s="28"/>
      <c r="AF21" s="28"/>
      <c r="AG21" s="28"/>
      <c r="AH21" s="28"/>
      <c r="AI21" s="37" t="n">
        <f aca="false">SUM(AF21,AH21)</f>
        <v>0</v>
      </c>
      <c r="AJ21" s="42"/>
      <c r="AK21" s="43" t="str">
        <f aca="false">IF(AND(T21&gt;=12,Z21&gt;=12,AI21&gt;=6),"да","нет")</f>
        <v>нет</v>
      </c>
      <c r="AL21" s="2"/>
      <c r="AM21" s="2"/>
      <c r="AN21" s="23" t="n">
        <f aca="false">SUM(T21,Z21,AB21,AC21,AI21,AM21,AL21)</f>
        <v>0</v>
      </c>
      <c r="AO21" s="29" t="str">
        <f aca="false">IF(AND(T21&gt;=12,Z21&gt;=12,AI21&gt;=6,AM21&gt;=24,AN21&gt;=60),"Зачет","Незачет")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9"/>
      <c r="O22" s="29"/>
      <c r="P22" s="29"/>
      <c r="Q22" s="30"/>
      <c r="R22" s="50"/>
      <c r="S22" s="36"/>
      <c r="T22" s="37"/>
      <c r="U22" s="47"/>
      <c r="V22" s="2"/>
      <c r="W22" s="36"/>
      <c r="X22" s="36"/>
      <c r="Y22" s="36"/>
      <c r="Z22" s="37"/>
      <c r="AA22" s="38"/>
      <c r="AB22" s="39"/>
      <c r="AC22" s="39"/>
      <c r="AD22" s="48"/>
      <c r="AE22" s="28"/>
      <c r="AF22" s="28"/>
      <c r="AG22" s="28"/>
      <c r="AH22" s="28"/>
      <c r="AI22" s="37" t="n">
        <f aca="false">SUM(AF22,AH22)</f>
        <v>0</v>
      </c>
      <c r="AJ22" s="42"/>
      <c r="AK22" s="43" t="str">
        <f aca="false">IF(AND(T22&gt;=12,Z22&gt;=12,AI22&gt;=6),"да","нет")</f>
        <v>нет</v>
      </c>
      <c r="AL22" s="2"/>
      <c r="AM22" s="2"/>
      <c r="AN22" s="23" t="n">
        <f aca="false">SUM(T22,Z22,AB22,AC22,AI22,AM22,AL22)</f>
        <v>0</v>
      </c>
      <c r="AO22" s="29" t="str">
        <f aca="false">IF(AND(T22&gt;=12,Z22&gt;=12,AI22&gt;=6,AM22&gt;=24,AN22&gt;=60),"Зачет","Незачет")</f>
        <v>Незачет</v>
      </c>
    </row>
    <row r="23" customFormat="false" ht="15.75" hidden="false" customHeight="false" outlineLevel="0" collapsed="false">
      <c r="B23" s="49"/>
      <c r="C23" s="27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9"/>
      <c r="O23" s="29"/>
      <c r="P23" s="29"/>
      <c r="Q23" s="30"/>
      <c r="R23" s="50"/>
      <c r="S23" s="36"/>
      <c r="T23" s="37"/>
      <c r="U23" s="47"/>
      <c r="V23" s="2"/>
      <c r="W23" s="36"/>
      <c r="X23" s="36"/>
      <c r="Y23" s="36"/>
      <c r="Z23" s="37"/>
      <c r="AA23" s="38"/>
      <c r="AB23" s="39"/>
      <c r="AC23" s="39"/>
      <c r="AD23" s="48"/>
      <c r="AE23" s="28"/>
      <c r="AF23" s="28"/>
      <c r="AG23" s="28"/>
      <c r="AH23" s="28"/>
      <c r="AI23" s="37" t="n">
        <f aca="false">SUM(AF23,AH23)</f>
        <v>0</v>
      </c>
      <c r="AJ23" s="42"/>
      <c r="AK23" s="43" t="str">
        <f aca="false">IF(AND(T23&gt;=12,Z23&gt;=12,AI23&gt;=6),"да","нет")</f>
        <v>нет</v>
      </c>
      <c r="AL23" s="2"/>
      <c r="AM23" s="2"/>
      <c r="AN23" s="23" t="n">
        <f aca="false">SUM(T23,Z23,AB23,AC23,AI23,AM23,AL23)</f>
        <v>0</v>
      </c>
      <c r="AO23" s="29" t="str">
        <f aca="false">IF(AND(T23&gt;=12,Z23&gt;=12,AI23&gt;=6,AM23&gt;=24,AN23&gt;=60),"Зачет","Незачет")</f>
        <v>Незачет</v>
      </c>
    </row>
    <row r="24" customFormat="false" ht="15.75" hidden="false" customHeight="false" outlineLevel="0" collapsed="false">
      <c r="A24" s="25"/>
      <c r="B24" s="49"/>
      <c r="C24" s="51"/>
      <c r="D24" s="51"/>
      <c r="E24" s="28"/>
      <c r="F24" s="28"/>
      <c r="G24" s="28"/>
      <c r="H24" s="28"/>
      <c r="I24" s="28"/>
      <c r="J24" s="28"/>
      <c r="K24" s="28"/>
      <c r="L24" s="28"/>
      <c r="M24" s="28"/>
      <c r="N24" s="29"/>
      <c r="O24" s="29"/>
      <c r="P24" s="29"/>
      <c r="Q24" s="30"/>
      <c r="R24" s="50"/>
      <c r="S24" s="36"/>
      <c r="T24" s="37"/>
      <c r="U24" s="47"/>
      <c r="V24" s="2"/>
      <c r="W24" s="36"/>
      <c r="X24" s="36"/>
      <c r="Y24" s="36"/>
      <c r="Z24" s="37"/>
      <c r="AA24" s="38"/>
      <c r="AB24" s="39"/>
      <c r="AC24" s="39"/>
      <c r="AD24" s="48"/>
      <c r="AE24" s="28"/>
      <c r="AF24" s="28"/>
      <c r="AG24" s="28"/>
      <c r="AH24" s="28"/>
      <c r="AI24" s="28"/>
      <c r="AJ24" s="42"/>
      <c r="AK24" s="43"/>
      <c r="AL24" s="2"/>
      <c r="AM24" s="2"/>
      <c r="AN24" s="23"/>
      <c r="AO24" s="52"/>
    </row>
    <row r="25" customFormat="false" ht="1.5" hidden="false" customHeight="true" outlineLevel="0" collapsed="false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53"/>
      <c r="AK25" s="47"/>
      <c r="AL25" s="47"/>
      <c r="AM25" s="47"/>
      <c r="AN25" s="47"/>
      <c r="AO25" s="47"/>
    </row>
    <row r="26" customFormat="false" ht="15.75" hidden="false" customHeight="false" outlineLevel="0" collapsed="false">
      <c r="A26" s="2"/>
      <c r="B26" s="2" t="s">
        <v>26</v>
      </c>
      <c r="C26" s="2"/>
      <c r="D26" s="2"/>
      <c r="E26" s="37" t="n">
        <f aca="false">COUNTIF(E$3:E$24, "~**")</f>
        <v>0</v>
      </c>
      <c r="F26" s="37" t="n">
        <f aca="false">COUNTIF(F$3:F$24, "~**")</f>
        <v>0</v>
      </c>
      <c r="G26" s="37" t="n">
        <f aca="false">COUNTIF(G$3:G$24, "~**")</f>
        <v>0</v>
      </c>
      <c r="H26" s="37" t="n">
        <f aca="false">COUNTIF(H$3:H$24, "~**")</f>
        <v>0</v>
      </c>
      <c r="I26" s="37" t="n">
        <f aca="false">COUNTIF(I$3:I$24, "~**")</f>
        <v>0</v>
      </c>
      <c r="J26" s="37"/>
      <c r="K26" s="37" t="n">
        <f aca="false">COUNTIF(K$3:K$24, "~**")</f>
        <v>0</v>
      </c>
      <c r="L26" s="37" t="n">
        <f aca="false">COUNTIF(L$3:L$24, "~**")</f>
        <v>0</v>
      </c>
      <c r="M26" s="37"/>
      <c r="N26" s="54" t="n">
        <f aca="false">COUNTIF(N$3:N$24, "~**")</f>
        <v>0</v>
      </c>
      <c r="O26" s="54" t="n">
        <f aca="false">COUNTIF(O$3:O$24, "~**")</f>
        <v>0</v>
      </c>
      <c r="P26" s="54" t="n">
        <f aca="false">COUNTIF(P$3:P$24, "~**")</f>
        <v>0</v>
      </c>
      <c r="Q26" s="55"/>
      <c r="R26" s="2" t="s">
        <v>27</v>
      </c>
      <c r="S26" s="2"/>
      <c r="T26" s="37" t="n">
        <f aca="false">T27*0.6</f>
        <v>12</v>
      </c>
      <c r="U26" s="55"/>
      <c r="V26" s="37"/>
      <c r="W26" s="37"/>
      <c r="X26" s="37"/>
      <c r="Y26" s="37"/>
      <c r="Z26" s="37" t="n">
        <f aca="false">Z27*0.6</f>
        <v>12</v>
      </c>
      <c r="AA26" s="56"/>
      <c r="AB26" s="37" t="n">
        <v>0</v>
      </c>
      <c r="AC26" s="37" t="n">
        <v>0</v>
      </c>
      <c r="AD26" s="57"/>
      <c r="AF26" s="2" t="n">
        <v>3</v>
      </c>
      <c r="AH26" s="2" t="n">
        <v>3</v>
      </c>
      <c r="AI26" s="37" t="n">
        <v>6</v>
      </c>
      <c r="AJ26" s="58"/>
      <c r="AK26" s="59"/>
      <c r="AL26" s="37" t="n">
        <v>0</v>
      </c>
      <c r="AM26" s="37" t="n">
        <v>24</v>
      </c>
      <c r="AN26" s="19" t="n">
        <f aca="false">T26+Z26+AB26+AC26+AI26+AM26</f>
        <v>54</v>
      </c>
      <c r="AO26" s="60"/>
    </row>
    <row r="27" customFormat="false" ht="15.75" hidden="false" customHeight="false" outlineLevel="0" collapsed="false">
      <c r="A27" s="2"/>
      <c r="B27" s="2" t="s">
        <v>28</v>
      </c>
      <c r="C27" s="2"/>
      <c r="D27" s="2"/>
      <c r="E27" s="37" t="n">
        <f aca="false">COUNTIF(E$3:E$24, "~**")+COUNTIF(E$3:E$24, "Y")</f>
        <v>17</v>
      </c>
      <c r="F27" s="37" t="n">
        <f aca="false">COUNTIF(F$3:F$24, "~**")+COUNTIF(F$3:F$24, "Y")</f>
        <v>13</v>
      </c>
      <c r="G27" s="37" t="n">
        <f aca="false">COUNTIF(G$3:G$24, "~**")+COUNTIF(G$3:G$24, "Y")</f>
        <v>9</v>
      </c>
      <c r="H27" s="37" t="n">
        <f aca="false">COUNTIF(H$3:H$24, "~**")+COUNTIF(H$3:H$24, "Y")</f>
        <v>10</v>
      </c>
      <c r="I27" s="37" t="n">
        <f aca="false">COUNTIF(I$3:I$24, "~**")+COUNTIF(I$3:I$24, "Y")</f>
        <v>5</v>
      </c>
      <c r="J27" s="37"/>
      <c r="K27" s="37" t="n">
        <f aca="false">COUNTIF(K$3:K$24, "~**")+COUNTIF(K$3:K$24, "Y")</f>
        <v>1</v>
      </c>
      <c r="L27" s="37" t="n">
        <f aca="false">COUNTIF(L$3:L$24, "~**")+COUNTIF(L$3:L$24, "Y")</f>
        <v>0</v>
      </c>
      <c r="M27" s="37"/>
      <c r="N27" s="54" t="n">
        <f aca="false">COUNTIF(N$3:N$24, "~**")+COUNTIF(N$3:N$24, "Y")</f>
        <v>0</v>
      </c>
      <c r="O27" s="54" t="n">
        <f aca="false">COUNTIF(O$3:O$24, "~**")+COUNTIF(O$3:O$24, "Y")</f>
        <v>0</v>
      </c>
      <c r="P27" s="54" t="n">
        <f aca="false">COUNTIF(P$3:P$24, "~**")+COUNTIF(P$3:P$24, "Y")</f>
        <v>0</v>
      </c>
      <c r="Q27" s="55"/>
      <c r="R27" s="2" t="s">
        <v>29</v>
      </c>
      <c r="S27" s="2"/>
      <c r="T27" s="37" t="n">
        <v>20</v>
      </c>
      <c r="U27" s="55"/>
      <c r="V27" s="37"/>
      <c r="W27" s="37"/>
      <c r="X27" s="37"/>
      <c r="Y27" s="37"/>
      <c r="Z27" s="37" t="n">
        <v>20</v>
      </c>
      <c r="AA27" s="56"/>
      <c r="AB27" s="37" t="n">
        <v>5</v>
      </c>
      <c r="AC27" s="37" t="n">
        <v>5</v>
      </c>
      <c r="AD27" s="57"/>
      <c r="AF27" s="2" t="n">
        <v>5</v>
      </c>
      <c r="AH27" s="2" t="n">
        <v>5</v>
      </c>
      <c r="AI27" s="37" t="n">
        <v>10</v>
      </c>
      <c r="AJ27" s="58"/>
      <c r="AK27" s="59"/>
      <c r="AL27" s="37" t="n">
        <v>3</v>
      </c>
      <c r="AM27" s="37" t="n">
        <v>40</v>
      </c>
      <c r="AN27" s="19" t="n">
        <f aca="false">SUM(T27,Z27,AB27:AC27,AI27,AL27:AM27,)</f>
        <v>103</v>
      </c>
      <c r="AO27" s="60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47"/>
      <c r="R28" s="2"/>
      <c r="S28" s="2"/>
      <c r="T28" s="61"/>
      <c r="U28" s="62"/>
      <c r="V28" s="61"/>
      <c r="W28" s="61"/>
      <c r="X28" s="61"/>
      <c r="Y28" s="61"/>
      <c r="Z28" s="61"/>
      <c r="AA28" s="63"/>
      <c r="AB28" s="2"/>
      <c r="AC28" s="2"/>
      <c r="AD28" s="57"/>
      <c r="AI28" s="61"/>
      <c r="AJ28" s="64"/>
      <c r="AK28" s="65"/>
      <c r="AL28" s="2"/>
      <c r="AM28" s="2"/>
      <c r="AN28" s="66"/>
      <c r="AO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47"/>
      <c r="R29" s="2" t="s">
        <v>31</v>
      </c>
      <c r="S29" s="2"/>
      <c r="T29" s="61" t="n">
        <f aca="false">IFERROR(COUNTA(T$3:T24)/COUNTA($B$3:$B$24), 0)</f>
        <v>0.9444444444</v>
      </c>
      <c r="U29" s="62"/>
      <c r="V29" s="61"/>
      <c r="W29" s="61"/>
      <c r="X29" s="61"/>
      <c r="Y29" s="61"/>
      <c r="Z29" s="61" t="n">
        <f aca="false">IFERROR(COUNTA(Z$3:Z24)/COUNTA($B$3:$B$24), 0)</f>
        <v>0.7222222222</v>
      </c>
      <c r="AA29" s="63"/>
      <c r="AB29" s="2"/>
      <c r="AC29" s="2"/>
      <c r="AD29" s="57"/>
      <c r="AF29" s="61" t="n">
        <f aca="false">IFERROR(COUNTIF(AF$3:AF24, "&gt;0")/COUNTA($B$3:$B$23), 0)</f>
        <v>0.9444444444</v>
      </c>
      <c r="AH29" s="61" t="n">
        <f aca="false">IFERROR(COUNTIF(AH$3:AH24, "&gt;0")/COUNTA($B$3:$B$23), 0)</f>
        <v>0</v>
      </c>
      <c r="AI29" s="61" t="n">
        <f aca="false">IFERROR(COUNTIF(AI$3:AI24, "&gt;0")/COUNTA($B$3:$B$23), 0)</f>
        <v>0.944444444444444</v>
      </c>
      <c r="AJ29" s="64"/>
      <c r="AK29" s="65"/>
      <c r="AL29" s="2"/>
      <c r="AM29" s="61" t="n">
        <f aca="false">IFERROR(COUNTIF(AM$3:AM24, "&gt;24")/COUNTA($B$3:$B$23), 0)</f>
        <v>0.6111111111</v>
      </c>
      <c r="AN29" s="66"/>
      <c r="AO29" s="2"/>
    </row>
    <row r="30" customFormat="false" ht="15.75" hidden="false" customHeight="false" outlineLevel="0" collapsed="false">
      <c r="A30" s="2"/>
      <c r="B30" s="2"/>
      <c r="C30" s="2"/>
      <c r="D30" s="2"/>
      <c r="E30" s="2" t="s">
        <v>32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47"/>
      <c r="R30" s="2"/>
      <c r="S30" s="2"/>
      <c r="T30" s="2"/>
      <c r="U30" s="47"/>
      <c r="V30" s="2"/>
      <c r="W30" s="2"/>
      <c r="X30" s="2"/>
      <c r="Y30" s="2"/>
      <c r="Z30" s="2"/>
      <c r="AA30" s="63"/>
      <c r="AB30" s="2"/>
      <c r="AC30" s="2"/>
      <c r="AD30" s="63"/>
      <c r="AE30" s="2"/>
      <c r="AF30" s="2"/>
      <c r="AG30" s="2"/>
      <c r="AH30" s="2"/>
      <c r="AI30" s="2"/>
      <c r="AJ30" s="64"/>
      <c r="AK30" s="65"/>
      <c r="AL30" s="2"/>
      <c r="AM30" s="2"/>
      <c r="AN30" s="66"/>
      <c r="AO30" s="2"/>
    </row>
    <row r="31" customFormat="false" ht="15.75" hidden="false" customHeight="false" outlineLevel="0" collapsed="false">
      <c r="A31" s="67"/>
      <c r="B31" s="67"/>
      <c r="C31" s="2"/>
      <c r="D31" s="2"/>
      <c r="E31" s="2" t="s">
        <v>33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47"/>
      <c r="R31" s="2"/>
      <c r="S31" s="2"/>
      <c r="T31" s="2"/>
      <c r="U31" s="47"/>
      <c r="V31" s="2"/>
      <c r="W31" s="2"/>
      <c r="X31" s="2"/>
      <c r="Y31" s="2"/>
      <c r="Z31" s="2"/>
      <c r="AA31" s="63"/>
      <c r="AB31" s="2"/>
      <c r="AC31" s="2"/>
      <c r="AD31" s="63"/>
      <c r="AE31" s="2"/>
      <c r="AF31" s="2"/>
      <c r="AG31" s="2"/>
      <c r="AH31" s="2"/>
      <c r="AI31" s="2"/>
      <c r="AJ31" s="64"/>
      <c r="AK31" s="65"/>
      <c r="AL31" s="2"/>
      <c r="AM31" s="2"/>
      <c r="AN31" s="66"/>
      <c r="AO31" s="2"/>
    </row>
    <row r="32" customFormat="false" ht="15.75" hidden="false" customHeight="false" outlineLevel="0" collapsed="false">
      <c r="E32" s="2" t="s">
        <v>557</v>
      </c>
      <c r="Q32" s="68"/>
      <c r="U32" s="68"/>
      <c r="AA32" s="57"/>
      <c r="AD32" s="57"/>
      <c r="AJ32" s="69"/>
      <c r="AK32" s="70"/>
      <c r="AN32" s="71"/>
    </row>
    <row r="33" customFormat="false" ht="15.75" hidden="false" customHeight="false" outlineLevel="0" collapsed="false">
      <c r="Q33" s="68"/>
      <c r="U33" s="68"/>
      <c r="AA33" s="57"/>
      <c r="AD33" s="57"/>
      <c r="AJ33" s="69"/>
      <c r="AK33" s="70"/>
      <c r="AN33" s="71"/>
    </row>
    <row r="34" customFormat="false" ht="15.75" hidden="false" customHeight="false" outlineLevel="0" collapsed="false">
      <c r="Q34" s="68"/>
      <c r="U34" s="68"/>
      <c r="AA34" s="57"/>
      <c r="AD34" s="57"/>
      <c r="AJ34" s="69"/>
      <c r="AK34" s="70"/>
      <c r="AN34" s="71"/>
    </row>
  </sheetData>
  <mergeCells count="13">
    <mergeCell ref="A1:A2"/>
    <mergeCell ref="E1:P1"/>
    <mergeCell ref="R1:T1"/>
    <mergeCell ref="V1:Z1"/>
    <mergeCell ref="AB1:AB2"/>
    <mergeCell ref="AC1:AC2"/>
    <mergeCell ref="AE1:AF1"/>
    <mergeCell ref="AG1:AH1"/>
    <mergeCell ref="AI1:AI2"/>
    <mergeCell ref="AK1:AK2"/>
    <mergeCell ref="AL1:AL2"/>
    <mergeCell ref="AM1:AM2"/>
    <mergeCell ref="AN1:AO1"/>
  </mergeCells>
  <conditionalFormatting sqref="AJ3:AK24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O3:AO24">
    <cfRule type="beginsWith" priority="4" operator="beginsWith" aboveAverage="0" equalAverage="0" bottom="0" percent="0" rank="0" text="зачет" dxfId="2">
      <formula>LEFT(AO3,LEN("зачет"))="зачет"</formula>
    </cfRule>
  </conditionalFormatting>
  <conditionalFormatting sqref="E3:M24">
    <cfRule type="cellIs" priority="5" operator="equal" aboveAverage="0" equalAverage="0" bottom="0" percent="0" rank="0" text="" dxfId="3">
      <formula>"N"</formula>
    </cfRule>
  </conditionalFormatting>
  <conditionalFormatting sqref="T3:T24 Z3:AC24 AI3:AI24 AL3:AM24">
    <cfRule type="containsText" priority="6" operator="containsText" aboveAverage="0" equalAverage="0" bottom="0" percent="0" rank="0" text="." dxfId="4">
      <formula>NOT(ISERROR(SEARCH(".",T3)))</formula>
    </cfRule>
  </conditionalFormatting>
  <conditionalFormatting sqref="S21:S24">
    <cfRule type="expression" priority="7" aboveAverage="0" equalAverage="0" bottom="0" percent="0" rank="0" text="" dxfId="5">
      <formula>S21&gt;45230</formula>
    </cfRule>
  </conditionalFormatting>
  <conditionalFormatting sqref="AD3:AD24 AF3:AH24 W21:Y24 AE21:AE24">
    <cfRule type="expression" priority="8" aboveAverage="0" equalAverage="0" bottom="0" percent="0" rank="0" text="" dxfId="5">
      <formula>AD3&gt;45291</formula>
    </cfRule>
  </conditionalFormatting>
  <conditionalFormatting sqref="W3:Y20">
    <cfRule type="expression" priority="9" aboveAverage="0" equalAverage="0" bottom="0" percent="0" rank="0" text="" dxfId="3">
      <formula>W3&gt;45689</formula>
    </cfRule>
  </conditionalFormatting>
  <conditionalFormatting sqref="AE3:AE20">
    <cfRule type="expression" priority="10" aboveAverage="0" equalAverage="0" bottom="0" percent="0" rank="0" text="" dxfId="3">
      <formula>AE3&gt;45689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0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45173</v>
      </c>
      <c r="F2" s="15" t="n">
        <f aca="false">E2+14</f>
        <v>45187</v>
      </c>
      <c r="G2" s="15" t="n">
        <f aca="false">F2+14</f>
        <v>45201</v>
      </c>
      <c r="H2" s="15" t="n">
        <f aca="false">G2+14</f>
        <v>45215</v>
      </c>
      <c r="I2" s="15" t="n">
        <f aca="false">H2+14</f>
        <v>45229</v>
      </c>
      <c r="J2" s="15" t="n">
        <f aca="false">I2+14</f>
        <v>45243</v>
      </c>
      <c r="K2" s="15" t="n">
        <f aca="false">J2+14</f>
        <v>45257</v>
      </c>
      <c r="L2" s="15" t="n">
        <f aca="false">K2+14</f>
        <v>45271</v>
      </c>
      <c r="M2" s="16"/>
      <c r="N2" s="17"/>
      <c r="O2" s="17"/>
      <c r="P2" s="18"/>
      <c r="Q2" s="19" t="s">
        <v>17</v>
      </c>
      <c r="R2" s="20" t="s">
        <v>18</v>
      </c>
      <c r="S2" s="19" t="s">
        <v>19</v>
      </c>
      <c r="T2" s="6"/>
      <c r="U2" s="19" t="s">
        <v>17</v>
      </c>
      <c r="V2" s="20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305</v>
      </c>
      <c r="C3" s="27" t="s">
        <v>306</v>
      </c>
      <c r="D3" s="27" t="n">
        <v>409155</v>
      </c>
      <c r="E3" s="28" t="s">
        <v>45</v>
      </c>
      <c r="F3" s="28" t="s">
        <v>518</v>
      </c>
      <c r="G3" s="28" t="s">
        <v>518</v>
      </c>
      <c r="H3" s="28" t="s">
        <v>45</v>
      </c>
      <c r="I3" s="28" t="s">
        <v>45</v>
      </c>
      <c r="J3" s="28" t="s">
        <v>45</v>
      </c>
      <c r="K3" s="28"/>
      <c r="L3" s="28"/>
      <c r="M3" s="29"/>
      <c r="N3" s="29"/>
      <c r="O3" s="29"/>
      <c r="P3" s="30"/>
      <c r="Q3" s="31" t="n">
        <v>18132</v>
      </c>
      <c r="R3" s="39" t="s">
        <v>519</v>
      </c>
      <c r="S3" s="33" t="n">
        <v>14</v>
      </c>
      <c r="T3" s="34" t="n">
        <v>8769</v>
      </c>
      <c r="U3" s="35" t="n">
        <v>3294</v>
      </c>
      <c r="V3" s="36"/>
      <c r="W3" s="36"/>
      <c r="X3" s="36"/>
      <c r="Y3" s="37"/>
      <c r="Z3" s="38"/>
      <c r="AA3" s="39"/>
      <c r="AB3" s="39"/>
      <c r="AC3" s="40"/>
      <c r="AD3" s="41" t="n">
        <v>45675</v>
      </c>
      <c r="AE3" s="28" t="n">
        <v>0</v>
      </c>
      <c r="AF3" s="41"/>
      <c r="AG3" s="28" t="s">
        <v>578</v>
      </c>
      <c r="AH3" s="37" t="n">
        <f aca="false">SUM(AE3,AG3)</f>
        <v>0</v>
      </c>
      <c r="AI3" s="42"/>
      <c r="AJ3" s="43" t="str">
        <f aca="false">IF(AND(S3&gt;=12,Y3&gt;=12,AH3&gt;=6),"да","нет")</f>
        <v>нет</v>
      </c>
      <c r="AK3" s="2"/>
      <c r="AL3" s="2"/>
      <c r="AM3" s="23" t="n">
        <f aca="false">SUM(S3,Y3,AA3,AB3,AH3,AL3,AK3)</f>
        <v>14</v>
      </c>
      <c r="AN3" s="29" t="str">
        <f aca="false">IF(AND(S3&gt;=12,Y3&gt;=12,AH3&gt;=6,AL3&gt;=24,AM3&gt;=60),"Зачет","Незачет")</f>
        <v>Незачет</v>
      </c>
    </row>
    <row r="4" customFormat="false" ht="15.75" hidden="false" customHeight="false" outlineLevel="0" collapsed="false">
      <c r="A4" s="25" t="n">
        <v>2</v>
      </c>
      <c r="B4" s="26" t="s">
        <v>514</v>
      </c>
      <c r="C4" s="27" t="s">
        <v>306</v>
      </c>
      <c r="D4" s="27" t="n">
        <v>413731</v>
      </c>
      <c r="E4" s="28"/>
      <c r="F4" s="28"/>
      <c r="G4" s="28"/>
      <c r="H4" s="28"/>
      <c r="I4" s="28"/>
      <c r="J4" s="28"/>
      <c r="K4" s="28"/>
      <c r="L4" s="28"/>
      <c r="M4" s="29"/>
      <c r="N4" s="29"/>
      <c r="O4" s="29"/>
      <c r="P4" s="30"/>
      <c r="Q4" s="31" t="n">
        <v>1211</v>
      </c>
      <c r="R4" s="32" t="n">
        <v>45707</v>
      </c>
      <c r="S4" s="33" t="n">
        <v>14</v>
      </c>
      <c r="T4" s="34"/>
      <c r="U4" s="35" t="n">
        <v>3731</v>
      </c>
      <c r="V4" s="36" t="n">
        <v>45722</v>
      </c>
      <c r="W4" s="36" t="n">
        <v>45722</v>
      </c>
      <c r="X4" s="36" t="n">
        <v>45722</v>
      </c>
      <c r="Y4" s="37" t="n">
        <v>12</v>
      </c>
      <c r="Z4" s="38"/>
      <c r="AA4" s="39"/>
      <c r="AB4" s="39"/>
      <c r="AC4" s="40"/>
      <c r="AD4" s="41" t="n">
        <v>45726</v>
      </c>
      <c r="AE4" s="28" t="n">
        <v>6</v>
      </c>
      <c r="AF4" s="41"/>
      <c r="AG4" s="41"/>
      <c r="AH4" s="37" t="n">
        <f aca="false">SUM(AE4,AG4)</f>
        <v>6</v>
      </c>
      <c r="AI4" s="42"/>
      <c r="AJ4" s="43" t="str">
        <f aca="false">IF(AND(S4&gt;=12,Y4&gt;=12,AH4&gt;=6),"да","нет")</f>
        <v>да</v>
      </c>
      <c r="AK4" s="2"/>
      <c r="AL4" s="2" t="n">
        <v>29</v>
      </c>
      <c r="AM4" s="23" t="n">
        <f aca="false">SUM(S4,Y4,AA4,AB4,AH4,AL4,AK4)</f>
        <v>61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/>
      <c r="C5" s="27"/>
      <c r="D5" s="27"/>
      <c r="E5" s="28"/>
      <c r="F5" s="28"/>
      <c r="G5" s="28"/>
      <c r="H5" s="28"/>
      <c r="I5" s="28"/>
      <c r="J5" s="28"/>
      <c r="K5" s="28"/>
      <c r="L5" s="28"/>
      <c r="M5" s="29"/>
      <c r="N5" s="29"/>
      <c r="O5" s="29"/>
      <c r="P5" s="30"/>
      <c r="Q5" s="31"/>
      <c r="R5" s="32"/>
      <c r="S5" s="33"/>
      <c r="T5" s="34"/>
      <c r="U5" s="35"/>
      <c r="V5" s="36"/>
      <c r="W5" s="36"/>
      <c r="X5" s="36"/>
      <c r="Y5" s="37"/>
      <c r="Z5" s="38"/>
      <c r="AA5" s="39"/>
      <c r="AB5" s="39"/>
      <c r="AC5" s="44"/>
      <c r="AD5" s="36"/>
      <c r="AE5" s="36"/>
      <c r="AF5" s="36"/>
      <c r="AG5" s="36"/>
      <c r="AH5" s="37" t="n">
        <f aca="false">SUM(AE5,AG5)</f>
        <v>0</v>
      </c>
      <c r="AI5" s="42"/>
      <c r="AJ5" s="43" t="str">
        <f aca="false">IF(AND(S5&gt;=12,Y5&gt;=12,AH5&gt;=6),"да","нет")</f>
        <v>нет</v>
      </c>
      <c r="AK5" s="2"/>
      <c r="AL5" s="2"/>
      <c r="AM5" s="23" t="n">
        <f aca="false">SUM(S5,Y5,AA5,AB5,AH5,AL5,AK5)</f>
        <v>0</v>
      </c>
      <c r="AN5" s="29" t="str">
        <f aca="false">IF(AND(S5&gt;=12,Y5&gt;=12,AH5&gt;=6,AL5&gt;=24,AM5&gt;=60),"Зачет","Незачет")</f>
        <v>Незачет</v>
      </c>
    </row>
    <row r="6" customFormat="false" ht="15.75" hidden="false" customHeight="false" outlineLevel="0" collapsed="false">
      <c r="A6" s="25" t="n">
        <v>4</v>
      </c>
      <c r="B6" s="26"/>
      <c r="C6" s="27"/>
      <c r="D6" s="27"/>
      <c r="E6" s="28"/>
      <c r="F6" s="28"/>
      <c r="G6" s="28"/>
      <c r="H6" s="28"/>
      <c r="I6" s="28"/>
      <c r="J6" s="28"/>
      <c r="K6" s="28"/>
      <c r="L6" s="28"/>
      <c r="M6" s="29"/>
      <c r="N6" s="29"/>
      <c r="O6" s="29"/>
      <c r="P6" s="30"/>
      <c r="Q6" s="31"/>
      <c r="R6" s="32"/>
      <c r="S6" s="33"/>
      <c r="T6" s="34"/>
      <c r="U6" s="35"/>
      <c r="V6" s="36"/>
      <c r="W6" s="36"/>
      <c r="X6" s="36"/>
      <c r="Y6" s="37"/>
      <c r="Z6" s="38"/>
      <c r="AA6" s="39"/>
      <c r="AB6" s="39"/>
      <c r="AC6" s="44"/>
      <c r="AD6" s="36"/>
      <c r="AE6" s="36"/>
      <c r="AF6" s="36"/>
      <c r="AG6" s="36"/>
      <c r="AH6" s="37" t="n">
        <f aca="false">SUM(AE6,AG6)</f>
        <v>0</v>
      </c>
      <c r="AI6" s="42"/>
      <c r="AJ6" s="43" t="str">
        <f aca="false">IF(AND(S6&gt;=12,Y6&gt;=12,AH6&gt;=6),"да","нет")</f>
        <v>нет</v>
      </c>
      <c r="AK6" s="2"/>
      <c r="AL6" s="2"/>
      <c r="AM6" s="23" t="n">
        <f aca="false">SUM(S6,Y6,AA6,AB6,AH6,AL6,AK6)</f>
        <v>0</v>
      </c>
      <c r="AN6" s="29" t="str">
        <f aca="false">IF(AND(S6&gt;=12,Y6&gt;=12,AH6&gt;=6,AL6&gt;=24,AM6&gt;=60),"Зачет","Незачет")</f>
        <v>Незачет</v>
      </c>
    </row>
    <row r="7" customFormat="false" ht="15.75" hidden="false" customHeight="false" outlineLevel="0" collapsed="false">
      <c r="A7" s="25" t="n">
        <v>5</v>
      </c>
      <c r="B7" s="26"/>
      <c r="C7" s="27"/>
      <c r="D7" s="27"/>
      <c r="E7" s="28"/>
      <c r="F7" s="28"/>
      <c r="G7" s="28"/>
      <c r="H7" s="28"/>
      <c r="I7" s="28"/>
      <c r="J7" s="28"/>
      <c r="K7" s="28"/>
      <c r="L7" s="28"/>
      <c r="M7" s="29"/>
      <c r="N7" s="29"/>
      <c r="O7" s="29"/>
      <c r="P7" s="30"/>
      <c r="Q7" s="31"/>
      <c r="R7" s="32"/>
      <c r="S7" s="33"/>
      <c r="T7" s="34"/>
      <c r="U7" s="35"/>
      <c r="V7" s="36"/>
      <c r="W7" s="36"/>
      <c r="X7" s="36"/>
      <c r="Y7" s="37"/>
      <c r="Z7" s="38"/>
      <c r="AA7" s="39"/>
      <c r="AB7" s="39"/>
      <c r="AC7" s="40"/>
      <c r="AD7" s="41"/>
      <c r="AE7" s="41"/>
      <c r="AF7" s="41"/>
      <c r="AG7" s="41"/>
      <c r="AH7" s="37" t="n">
        <f aca="false">SUM(AE7,AG7)</f>
        <v>0</v>
      </c>
      <c r="AI7" s="42"/>
      <c r="AJ7" s="43" t="str">
        <f aca="false">IF(AND(S7&gt;=12,Y7&gt;=12,AH7&gt;=6),"да","нет")</f>
        <v>нет</v>
      </c>
      <c r="AK7" s="2"/>
      <c r="AL7" s="2"/>
      <c r="AM7" s="23" t="n">
        <f aca="false">SUM(S7,Y7,AA7,AB7,AH7,AL7,AK7)</f>
        <v>0</v>
      </c>
      <c r="AN7" s="29" t="str">
        <f aca="false">IF(AND(S7&gt;=12,Y7&gt;=12,AH7&gt;=6,AL7&gt;=24,AM7&gt;=60),"Зачет","Незачет")</f>
        <v>Незачет</v>
      </c>
    </row>
    <row r="8" customFormat="false" ht="15.75" hidden="false" customHeight="false" outlineLevel="0" collapsed="false">
      <c r="A8" s="25" t="n">
        <v>6</v>
      </c>
      <c r="B8" s="26"/>
      <c r="C8" s="27"/>
      <c r="D8" s="27"/>
      <c r="E8" s="28"/>
      <c r="F8" s="28"/>
      <c r="G8" s="28"/>
      <c r="H8" s="28"/>
      <c r="I8" s="28"/>
      <c r="J8" s="28"/>
      <c r="K8" s="28"/>
      <c r="L8" s="28"/>
      <c r="M8" s="29"/>
      <c r="N8" s="29"/>
      <c r="O8" s="29"/>
      <c r="P8" s="30"/>
      <c r="Q8" s="31"/>
      <c r="R8" s="32"/>
      <c r="S8" s="33"/>
      <c r="T8" s="34"/>
      <c r="U8" s="35"/>
      <c r="V8" s="36"/>
      <c r="W8" s="36"/>
      <c r="X8" s="36"/>
      <c r="Y8" s="37"/>
      <c r="Z8" s="38"/>
      <c r="AA8" s="39"/>
      <c r="AB8" s="39"/>
      <c r="AC8" s="40"/>
      <c r="AD8" s="41"/>
      <c r="AE8" s="41"/>
      <c r="AF8" s="41"/>
      <c r="AG8" s="41"/>
      <c r="AH8" s="37" t="n">
        <f aca="false">SUM(AE8,AG8)</f>
        <v>0</v>
      </c>
      <c r="AI8" s="42"/>
      <c r="AJ8" s="43" t="str">
        <f aca="false">IF(AND(S8&gt;=12,Y8&gt;=12,AH8&gt;=6),"да","нет")</f>
        <v>нет</v>
      </c>
      <c r="AK8" s="2"/>
      <c r="AL8" s="2"/>
      <c r="AM8" s="23" t="n">
        <f aca="false">SUM(S8,Y8,AA8,AB8,AH8,AL8,AK8)</f>
        <v>0</v>
      </c>
      <c r="AN8" s="29" t="str">
        <f aca="false">IF(AND(S8&gt;=12,Y8&gt;=12,AH8&gt;=6,AL8&gt;=24,AM8&gt;=60),"Зачет","Незачет")</f>
        <v>Незачет</v>
      </c>
    </row>
    <row r="9" customFormat="false" ht="15.75" hidden="false" customHeight="false" outlineLevel="0" collapsed="false">
      <c r="A9" s="25" t="n">
        <v>7</v>
      </c>
      <c r="B9" s="26"/>
      <c r="C9" s="27"/>
      <c r="D9" s="27"/>
      <c r="E9" s="28"/>
      <c r="F9" s="28"/>
      <c r="G9" s="28"/>
      <c r="H9" s="28"/>
      <c r="I9" s="28"/>
      <c r="J9" s="28"/>
      <c r="K9" s="28"/>
      <c r="L9" s="28"/>
      <c r="M9" s="29"/>
      <c r="N9" s="29"/>
      <c r="O9" s="29"/>
      <c r="P9" s="30"/>
      <c r="Q9" s="31"/>
      <c r="R9" s="32"/>
      <c r="S9" s="33"/>
      <c r="T9" s="34"/>
      <c r="U9" s="35"/>
      <c r="V9" s="36"/>
      <c r="W9" s="36"/>
      <c r="X9" s="36"/>
      <c r="Y9" s="37"/>
      <c r="Z9" s="38"/>
      <c r="AA9" s="39"/>
      <c r="AB9" s="39"/>
      <c r="AC9" s="44"/>
      <c r="AD9" s="36"/>
      <c r="AE9" s="36"/>
      <c r="AF9" s="36"/>
      <c r="AG9" s="36"/>
      <c r="AH9" s="37" t="n">
        <f aca="false">SUM(AE9,AG9)</f>
        <v>0</v>
      </c>
      <c r="AI9" s="42"/>
      <c r="AJ9" s="43" t="str">
        <f aca="false">IF(AND(S9&gt;=12,Y9&gt;=12,AH9&gt;=6),"да","нет")</f>
        <v>нет</v>
      </c>
      <c r="AK9" s="2"/>
      <c r="AL9" s="2"/>
      <c r="AM9" s="23" t="n">
        <f aca="false">SUM(S9,Y9,AA9,AB9,AH9,AL9,AK9)</f>
        <v>0</v>
      </c>
      <c r="AN9" s="29" t="str">
        <f aca="false">IF(AND(S9&gt;=12,Y9&gt;=12,AH9&gt;=6,AL9&gt;=24,AM9&gt;=60),"Зачет","Незачет")</f>
        <v>Незачет</v>
      </c>
    </row>
    <row r="10" customFormat="false" ht="15.75" hidden="false" customHeight="false" outlineLevel="0" collapsed="false">
      <c r="A10" s="25" t="n">
        <v>8</v>
      </c>
      <c r="B10" s="26"/>
      <c r="C10" s="27"/>
      <c r="D10" s="27"/>
      <c r="E10" s="28"/>
      <c r="F10" s="28"/>
      <c r="G10" s="28"/>
      <c r="H10" s="28"/>
      <c r="I10" s="28"/>
      <c r="J10" s="28"/>
      <c r="K10" s="28"/>
      <c r="L10" s="28"/>
      <c r="M10" s="29"/>
      <c r="N10" s="29"/>
      <c r="O10" s="29"/>
      <c r="P10" s="30"/>
      <c r="Q10" s="31"/>
      <c r="R10" s="32"/>
      <c r="S10" s="33"/>
      <c r="T10" s="34"/>
      <c r="U10" s="35"/>
      <c r="V10" s="36"/>
      <c r="W10" s="36"/>
      <c r="X10" s="36"/>
      <c r="Y10" s="37"/>
      <c r="Z10" s="38"/>
      <c r="AA10" s="39"/>
      <c r="AB10" s="39"/>
      <c r="AC10" s="40"/>
      <c r="AD10" s="41"/>
      <c r="AE10" s="41"/>
      <c r="AF10" s="41"/>
      <c r="AG10" s="41"/>
      <c r="AH10" s="37" t="n">
        <f aca="false">SUM(AE10,AG10)</f>
        <v>0</v>
      </c>
      <c r="AI10" s="42"/>
      <c r="AJ10" s="43" t="str">
        <f aca="false">IF(AND(S10&gt;=12,Y10&gt;=12,AH10&gt;=6),"да","нет")</f>
        <v>нет</v>
      </c>
      <c r="AK10" s="2"/>
      <c r="AL10" s="2"/>
      <c r="AM10" s="23" t="n">
        <f aca="false">SUM(S10,Y10,AA10,AB10,AH10,AL10,AK10)</f>
        <v>0</v>
      </c>
      <c r="AN10" s="29" t="str">
        <f aca="false">IF(AND(S10&gt;=12,Y10&gt;=12,AH10&gt;=6,AL10&gt;=24,AM10&gt;=60),"Зачет","Незачет")</f>
        <v>Незачет</v>
      </c>
    </row>
    <row r="11" customFormat="false" ht="15.75" hidden="false" customHeight="false" outlineLevel="0" collapsed="false">
      <c r="A11" s="25" t="n">
        <v>9</v>
      </c>
      <c r="B11" s="26"/>
      <c r="C11" s="27"/>
      <c r="D11" s="27"/>
      <c r="E11" s="28"/>
      <c r="F11" s="28"/>
      <c r="G11" s="28"/>
      <c r="H11" s="28"/>
      <c r="I11" s="28"/>
      <c r="J11" s="28"/>
      <c r="K11" s="28"/>
      <c r="L11" s="28"/>
      <c r="M11" s="29"/>
      <c r="N11" s="29"/>
      <c r="O11" s="29"/>
      <c r="P11" s="30"/>
      <c r="Q11" s="31"/>
      <c r="R11" s="32"/>
      <c r="S11" s="33"/>
      <c r="T11" s="34"/>
      <c r="U11" s="35"/>
      <c r="V11" s="36"/>
      <c r="W11" s="36"/>
      <c r="X11" s="36"/>
      <c r="Y11" s="37"/>
      <c r="Z11" s="38"/>
      <c r="AA11" s="39"/>
      <c r="AB11" s="39"/>
      <c r="AC11" s="40"/>
      <c r="AD11" s="41"/>
      <c r="AE11" s="41"/>
      <c r="AF11" s="41"/>
      <c r="AG11" s="41"/>
      <c r="AH11" s="37" t="n">
        <f aca="false">SUM(AE11,AG11)</f>
        <v>0</v>
      </c>
      <c r="AI11" s="42"/>
      <c r="AJ11" s="43" t="str">
        <f aca="false">IF(AND(S11&gt;=12,Y11&gt;=12,AH11&gt;=6),"да","нет")</f>
        <v>нет</v>
      </c>
      <c r="AK11" s="2"/>
      <c r="AL11" s="2"/>
      <c r="AM11" s="23" t="n">
        <f aca="false">SUM(S11,Y11,AA11,AB11,AH11,AL11,AK11)</f>
        <v>0</v>
      </c>
      <c r="AN11" s="29" t="str">
        <f aca="false">IF(AND(S11&gt;=12,Y11&gt;=12,AH11&gt;=6,AL11&gt;=24,AM11&gt;=60),"Зачет","Незачет")</f>
        <v>Незачет</v>
      </c>
    </row>
    <row r="12" customFormat="false" ht="15.75" hidden="false" customHeight="false" outlineLevel="0" collapsed="false">
      <c r="A12" s="25" t="n">
        <v>10</v>
      </c>
      <c r="B12" s="26"/>
      <c r="C12" s="27"/>
      <c r="D12" s="27"/>
      <c r="E12" s="28"/>
      <c r="F12" s="28"/>
      <c r="G12" s="28"/>
      <c r="H12" s="28"/>
      <c r="I12" s="28"/>
      <c r="J12" s="28"/>
      <c r="K12" s="28"/>
      <c r="L12" s="28"/>
      <c r="M12" s="29"/>
      <c r="N12" s="29"/>
      <c r="O12" s="29"/>
      <c r="P12" s="30"/>
      <c r="Q12" s="31"/>
      <c r="R12" s="32"/>
      <c r="S12" s="33"/>
      <c r="T12" s="34"/>
      <c r="U12" s="35"/>
      <c r="V12" s="36"/>
      <c r="W12" s="36"/>
      <c r="X12" s="36"/>
      <c r="Y12" s="37"/>
      <c r="Z12" s="38"/>
      <c r="AA12" s="39"/>
      <c r="AB12" s="39"/>
      <c r="AC12" s="40"/>
      <c r="AD12" s="41"/>
      <c r="AE12" s="41"/>
      <c r="AF12" s="41"/>
      <c r="AG12" s="41"/>
      <c r="AH12" s="37" t="n">
        <f aca="false">SUM(AE12,AG12)</f>
        <v>0</v>
      </c>
      <c r="AI12" s="42"/>
      <c r="AJ12" s="43" t="str">
        <f aca="false">IF(AND(S12&gt;=12,Y12&gt;=12,AH12&gt;=6),"да","нет")</f>
        <v>нет</v>
      </c>
      <c r="AK12" s="2"/>
      <c r="AL12" s="2"/>
      <c r="AM12" s="23" t="n">
        <f aca="false">SUM(S12,Y12,AA12,AB12,AH12,AL12,AK12)</f>
        <v>0</v>
      </c>
      <c r="AN12" s="29" t="str">
        <f aca="false">IF(AND(S12&gt;=12,Y12&gt;=12,AH12&gt;=6,AL12&gt;=24,AM12&gt;=60),"Зачет","Незачет")</f>
        <v>Незачет</v>
      </c>
    </row>
    <row r="13" customFormat="false" ht="15.75" hidden="false" customHeight="false" outlineLevel="0" collapsed="false">
      <c r="A13" s="25" t="n">
        <v>11</v>
      </c>
      <c r="B13" s="45"/>
      <c r="C13" s="27"/>
      <c r="D13" s="27"/>
      <c r="E13" s="28"/>
      <c r="F13" s="28"/>
      <c r="G13" s="28"/>
      <c r="H13" s="28"/>
      <c r="I13" s="28"/>
      <c r="J13" s="28"/>
      <c r="K13" s="28"/>
      <c r="L13" s="28"/>
      <c r="M13" s="29"/>
      <c r="N13" s="29"/>
      <c r="O13" s="29"/>
      <c r="P13" s="30"/>
      <c r="Q13" s="31"/>
      <c r="R13" s="32"/>
      <c r="S13" s="33"/>
      <c r="T13" s="34"/>
      <c r="U13" s="35"/>
      <c r="V13" s="36"/>
      <c r="W13" s="36"/>
      <c r="X13" s="36"/>
      <c r="Y13" s="37"/>
      <c r="Z13" s="38"/>
      <c r="AA13" s="39"/>
      <c r="AB13" s="39"/>
      <c r="AC13" s="40"/>
      <c r="AD13" s="41"/>
      <c r="AE13" s="41"/>
      <c r="AF13" s="41"/>
      <c r="AG13" s="41"/>
      <c r="AH13" s="37" t="n">
        <f aca="false">SUM(AE13,AG13)</f>
        <v>0</v>
      </c>
      <c r="AI13" s="42"/>
      <c r="AJ13" s="43" t="str">
        <f aca="false">IF(AND(S13&gt;=12,Y13&gt;=12,AH13&gt;=6),"да","нет")</f>
        <v>нет</v>
      </c>
      <c r="AK13" s="2"/>
      <c r="AL13" s="2"/>
      <c r="AM13" s="23" t="n">
        <f aca="false">SUM(S13,Y13,AA13,AB13,AH13,AL13,AK13)</f>
        <v>0</v>
      </c>
      <c r="AN13" s="29" t="str">
        <f aca="false">IF(AND(S13&gt;=12,Y13&gt;=12,AH13&gt;=6,AL13&gt;=24,AM13&gt;=60),"Зачет","Незачет")</f>
        <v>Незачет</v>
      </c>
    </row>
    <row r="14" customFormat="false" ht="15.75" hidden="false" customHeight="false" outlineLevel="0" collapsed="false">
      <c r="A14" s="25" t="n">
        <v>12</v>
      </c>
      <c r="B14" s="26"/>
      <c r="C14" s="27"/>
      <c r="D14" s="27"/>
      <c r="E14" s="28"/>
      <c r="F14" s="28"/>
      <c r="G14" s="28"/>
      <c r="H14" s="28"/>
      <c r="I14" s="28"/>
      <c r="J14" s="28"/>
      <c r="K14" s="28"/>
      <c r="L14" s="28"/>
      <c r="M14" s="29"/>
      <c r="N14" s="29"/>
      <c r="O14" s="29"/>
      <c r="P14" s="30"/>
      <c r="Q14" s="31"/>
      <c r="R14" s="32"/>
      <c r="S14" s="33"/>
      <c r="T14" s="34"/>
      <c r="U14" s="35"/>
      <c r="V14" s="36"/>
      <c r="W14" s="36"/>
      <c r="X14" s="36"/>
      <c r="Y14" s="37"/>
      <c r="Z14" s="38"/>
      <c r="AA14" s="39"/>
      <c r="AB14" s="39"/>
      <c r="AC14" s="40"/>
      <c r="AD14" s="41"/>
      <c r="AE14" s="41"/>
      <c r="AF14" s="41"/>
      <c r="AG14" s="41"/>
      <c r="AH14" s="37" t="n">
        <f aca="false">SUM(AE14,AG14)</f>
        <v>0</v>
      </c>
      <c r="AI14" s="42"/>
      <c r="AJ14" s="43" t="str">
        <f aca="false">IF(AND(S14&gt;=12,Y14&gt;=12,AH14&gt;=6),"да","нет")</f>
        <v>нет</v>
      </c>
      <c r="AK14" s="2"/>
      <c r="AL14" s="2"/>
      <c r="AM14" s="23" t="n">
        <f aca="false">SUM(S14,Y14,AA14,AB14,AH14,AL14,AK14)</f>
        <v>0</v>
      </c>
      <c r="AN14" s="29" t="str">
        <f aca="false">IF(AND(S14&gt;=12,Y14&gt;=12,AH14&gt;=6,AL14&gt;=24,AM14&gt;=60),"Зачет","Незачет")</f>
        <v>Незачет</v>
      </c>
    </row>
    <row r="15" customFormat="false" ht="15.75" hidden="false" customHeight="false" outlineLevel="0" collapsed="false">
      <c r="A15" s="25" t="n">
        <v>13</v>
      </c>
      <c r="B15" s="26"/>
      <c r="C15" s="27"/>
      <c r="D15" s="27"/>
      <c r="E15" s="28"/>
      <c r="F15" s="28"/>
      <c r="G15" s="28"/>
      <c r="H15" s="28"/>
      <c r="I15" s="28"/>
      <c r="J15" s="28"/>
      <c r="K15" s="28"/>
      <c r="L15" s="28"/>
      <c r="M15" s="29"/>
      <c r="N15" s="29"/>
      <c r="O15" s="29"/>
      <c r="P15" s="30"/>
      <c r="Q15" s="31"/>
      <c r="R15" s="32"/>
      <c r="S15" s="33"/>
      <c r="T15" s="34"/>
      <c r="U15" s="35"/>
      <c r="V15" s="36"/>
      <c r="W15" s="36"/>
      <c r="X15" s="36"/>
      <c r="Y15" s="37"/>
      <c r="Z15" s="38"/>
      <c r="AA15" s="39"/>
      <c r="AB15" s="39"/>
      <c r="AC15" s="40"/>
      <c r="AD15" s="41"/>
      <c r="AE15" s="41"/>
      <c r="AF15" s="41"/>
      <c r="AG15" s="41"/>
      <c r="AH15" s="37" t="n">
        <f aca="false">SUM(AE15,AG15)</f>
        <v>0</v>
      </c>
      <c r="AI15" s="42"/>
      <c r="AJ15" s="43" t="str">
        <f aca="false">IF(AND(S15&gt;=12,Y15&gt;=12,AH15&gt;=6),"да","нет")</f>
        <v>нет</v>
      </c>
      <c r="AK15" s="2"/>
      <c r="AL15" s="37"/>
      <c r="AM15" s="23" t="n">
        <f aca="false">SUM(S15,Y15,AA15,AB15,AH15,AL15,AK15)</f>
        <v>0</v>
      </c>
      <c r="AN15" s="29" t="str">
        <f aca="false">IF(AND(S15&gt;=12,Y15&gt;=12,AH15&gt;=6,AL15&gt;=24,AM15&gt;=60),"Зачет","Незачет")</f>
        <v>Незачет</v>
      </c>
    </row>
    <row r="16" customFormat="false" ht="15.75" hidden="false" customHeight="false" outlineLevel="0" collapsed="false">
      <c r="A16" s="25" t="n">
        <v>14</v>
      </c>
      <c r="B16" s="26"/>
      <c r="C16" s="27"/>
      <c r="D16" s="27"/>
      <c r="E16" s="28"/>
      <c r="F16" s="28"/>
      <c r="G16" s="28"/>
      <c r="H16" s="28"/>
      <c r="I16" s="28"/>
      <c r="J16" s="28"/>
      <c r="K16" s="28"/>
      <c r="L16" s="28"/>
      <c r="M16" s="29"/>
      <c r="N16" s="29"/>
      <c r="O16" s="29"/>
      <c r="P16" s="30"/>
      <c r="Q16" s="31"/>
      <c r="R16" s="32"/>
      <c r="S16" s="33"/>
      <c r="T16" s="34"/>
      <c r="U16" s="35"/>
      <c r="V16" s="36"/>
      <c r="W16" s="36"/>
      <c r="X16" s="36"/>
      <c r="Y16" s="37"/>
      <c r="Z16" s="38"/>
      <c r="AA16" s="39"/>
      <c r="AB16" s="39"/>
      <c r="AC16" s="40"/>
      <c r="AD16" s="41"/>
      <c r="AE16" s="41"/>
      <c r="AF16" s="41"/>
      <c r="AG16" s="41"/>
      <c r="AH16" s="37" t="n">
        <f aca="false">SUM(AE16,AG16)</f>
        <v>0</v>
      </c>
      <c r="AI16" s="42"/>
      <c r="AJ16" s="43" t="str">
        <f aca="false">IF(AND(S16&gt;=12,Y16&gt;=12,AH16&gt;=6),"да","нет")</f>
        <v>нет</v>
      </c>
      <c r="AK16" s="2"/>
      <c r="AL16" s="2"/>
      <c r="AM16" s="23" t="n">
        <f aca="false">SUM(S16,Y16,AA16,AB16,AH16,AL16,AK16)</f>
        <v>0</v>
      </c>
      <c r="AN16" s="29" t="str">
        <f aca="false">IF(AND(S16&gt;=12,Y16&gt;=12,AH16&gt;=6,AL16&gt;=24,AM16&gt;=60),"Зачет","Незачет")</f>
        <v>Незачет</v>
      </c>
    </row>
    <row r="17" customFormat="false" ht="15.75" hidden="false" customHeight="false" outlineLevel="0" collapsed="false">
      <c r="A17" s="25" t="n">
        <v>15</v>
      </c>
      <c r="B17" s="26"/>
      <c r="C17" s="27"/>
      <c r="D17" s="27"/>
      <c r="E17" s="28"/>
      <c r="F17" s="28"/>
      <c r="G17" s="28"/>
      <c r="H17" s="28"/>
      <c r="I17" s="28"/>
      <c r="J17" s="28"/>
      <c r="K17" s="28"/>
      <c r="L17" s="28"/>
      <c r="M17" s="29"/>
      <c r="N17" s="29"/>
      <c r="O17" s="29"/>
      <c r="P17" s="30"/>
      <c r="Q17" s="31"/>
      <c r="R17" s="32"/>
      <c r="S17" s="33"/>
      <c r="T17" s="34"/>
      <c r="U17" s="35"/>
      <c r="V17" s="36"/>
      <c r="W17" s="36"/>
      <c r="X17" s="36"/>
      <c r="Y17" s="37"/>
      <c r="Z17" s="38"/>
      <c r="AA17" s="39"/>
      <c r="AB17" s="39"/>
      <c r="AC17" s="44"/>
      <c r="AD17" s="36"/>
      <c r="AE17" s="36"/>
      <c r="AF17" s="36"/>
      <c r="AG17" s="36"/>
      <c r="AH17" s="37" t="n">
        <f aca="false">SUM(AE17,AG17)</f>
        <v>0</v>
      </c>
      <c r="AI17" s="42"/>
      <c r="AJ17" s="43" t="str">
        <f aca="false">IF(AND(S17&gt;=12,Y17&gt;=12,AH17&gt;=6),"да","нет")</f>
        <v>нет</v>
      </c>
      <c r="AK17" s="2"/>
      <c r="AL17" s="2"/>
      <c r="AM17" s="23" t="n">
        <f aca="false">SUM(S17,Y17,AA17,AB17,AH17,AL17,AK17)</f>
        <v>0</v>
      </c>
      <c r="AN17" s="29" t="str">
        <f aca="false">IF(AND(S17&gt;=12,Y17&gt;=12,AH17&gt;=6,AL17&gt;=24,AM17&gt;=60),"Зачет","Незачет")</f>
        <v>Незачет</v>
      </c>
    </row>
    <row r="18" customFormat="false" ht="15.75" hidden="false" customHeight="false" outlineLevel="0" collapsed="false">
      <c r="A18" s="25" t="n">
        <v>16</v>
      </c>
      <c r="B18" s="26"/>
      <c r="C18" s="27"/>
      <c r="D18" s="27"/>
      <c r="E18" s="28"/>
      <c r="F18" s="28"/>
      <c r="G18" s="28"/>
      <c r="H18" s="28"/>
      <c r="I18" s="28"/>
      <c r="J18" s="28"/>
      <c r="K18" s="28"/>
      <c r="L18" s="28"/>
      <c r="M18" s="29"/>
      <c r="N18" s="29"/>
      <c r="O18" s="29"/>
      <c r="P18" s="30"/>
      <c r="Q18" s="31"/>
      <c r="R18" s="32"/>
      <c r="S18" s="33"/>
      <c r="T18" s="34"/>
      <c r="U18" s="35"/>
      <c r="V18" s="36"/>
      <c r="W18" s="36"/>
      <c r="X18" s="36"/>
      <c r="Y18" s="37"/>
      <c r="Z18" s="38"/>
      <c r="AA18" s="39"/>
      <c r="AB18" s="39"/>
      <c r="AC18" s="40"/>
      <c r="AD18" s="41"/>
      <c r="AE18" s="41"/>
      <c r="AF18" s="41"/>
      <c r="AG18" s="41"/>
      <c r="AH18" s="37" t="n">
        <f aca="false">SUM(AE18,AG18)</f>
        <v>0</v>
      </c>
      <c r="AI18" s="42"/>
      <c r="AJ18" s="43" t="str">
        <f aca="false">IF(AND(S18&gt;=12,Y18&gt;=12,AH18&gt;=6),"да","нет")</f>
        <v>нет</v>
      </c>
      <c r="AK18" s="2"/>
      <c r="AL18" s="2"/>
      <c r="AM18" s="23" t="n">
        <f aca="false">SUM(S18,Y18,AA18,AB18,AH18,AL18,AK18)</f>
        <v>0</v>
      </c>
      <c r="AN18" s="29" t="str">
        <f aca="false">IF(AND(S18&gt;=12,Y18&gt;=12,AH18&gt;=6,AL18&gt;=24,AM18&gt;=60),"Зачет","Незачет")</f>
        <v>Незачет</v>
      </c>
    </row>
    <row r="19" customFormat="false" ht="15.75" hidden="false" customHeight="false" outlineLevel="0" collapsed="false">
      <c r="A19" s="25" t="n">
        <v>17</v>
      </c>
      <c r="B19" s="26"/>
      <c r="C19" s="27"/>
      <c r="D19" s="27"/>
      <c r="E19" s="28"/>
      <c r="F19" s="28"/>
      <c r="G19" s="28"/>
      <c r="H19" s="28"/>
      <c r="I19" s="28"/>
      <c r="J19" s="28"/>
      <c r="K19" s="28"/>
      <c r="L19" s="28"/>
      <c r="M19" s="29"/>
      <c r="N19" s="29"/>
      <c r="O19" s="29"/>
      <c r="P19" s="30"/>
      <c r="Q19" s="31"/>
      <c r="R19" s="32"/>
      <c r="S19" s="33"/>
      <c r="T19" s="34"/>
      <c r="U19" s="35"/>
      <c r="V19" s="36"/>
      <c r="W19" s="36"/>
      <c r="X19" s="36"/>
      <c r="Y19" s="37"/>
      <c r="Z19" s="38"/>
      <c r="AA19" s="39"/>
      <c r="AB19" s="39"/>
      <c r="AC19" s="40"/>
      <c r="AD19" s="41"/>
      <c r="AE19" s="41"/>
      <c r="AF19" s="41"/>
      <c r="AG19" s="41"/>
      <c r="AH19" s="37" t="n">
        <f aca="false">SUM(AE19,AG19)</f>
        <v>0</v>
      </c>
      <c r="AI19" s="42"/>
      <c r="AJ19" s="43" t="str">
        <f aca="false">IF(AND(S19&gt;=12,Y19&gt;=12,AH19&gt;=6),"да","нет")</f>
        <v>нет</v>
      </c>
      <c r="AK19" s="2"/>
      <c r="AL19" s="2"/>
      <c r="AM19" s="23" t="n">
        <f aca="false">SUM(S19,Y19,AA19,AB19,AH19,AL19,AK19)</f>
        <v>0</v>
      </c>
      <c r="AN19" s="29" t="str">
        <f aca="false">IF(AND(S19&gt;=12,Y19&gt;=12,AH19&gt;=6,AL19&gt;=24,AM19&gt;=60),"Зачет","Незачет")</f>
        <v>Незачет</v>
      </c>
    </row>
    <row r="20" customFormat="false" ht="15.75" hidden="false" customHeight="false" outlineLevel="0" collapsed="false">
      <c r="A20" s="25" t="n">
        <v>18</v>
      </c>
      <c r="B20" s="26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9"/>
      <c r="N20" s="29"/>
      <c r="O20" s="29"/>
      <c r="P20" s="30"/>
      <c r="Q20" s="46"/>
      <c r="R20" s="36"/>
      <c r="S20" s="37"/>
      <c r="T20" s="47"/>
      <c r="U20" s="2"/>
      <c r="V20" s="36"/>
      <c r="W20" s="36"/>
      <c r="X20" s="36"/>
      <c r="Y20" s="37"/>
      <c r="Z20" s="38"/>
      <c r="AA20" s="39"/>
      <c r="AB20" s="39"/>
      <c r="AC20" s="48"/>
      <c r="AD20" s="28"/>
      <c r="AE20" s="28"/>
      <c r="AF20" s="28"/>
      <c r="AG20" s="28"/>
      <c r="AH20" s="37" t="n">
        <f aca="false">SUM(AE20,AG20)</f>
        <v>0</v>
      </c>
      <c r="AI20" s="42"/>
      <c r="AJ20" s="43" t="str">
        <f aca="false">IF(AND(S20&gt;=12,Y20&gt;=12,AH20&gt;=6),"да","нет")</f>
        <v>нет</v>
      </c>
      <c r="AK20" s="2"/>
      <c r="AL20" s="2"/>
      <c r="AM20" s="23" t="n">
        <f aca="false">SUM(S20,Y20,AA20,AB20,AH20,AL20,AK20)</f>
        <v>0</v>
      </c>
      <c r="AN20" s="29" t="str">
        <f aca="false">IF(AND(S20&gt;=12,Y20&gt;=12,AH20&gt;=6,AL20&gt;=24,AM20&gt;=60),"Зачет","Незачет")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28"/>
      <c r="AH21" s="37" t="n">
        <f aca="false">SUM(AE21,AG21)</f>
        <v>0</v>
      </c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0</v>
      </c>
      <c r="G25" s="37" t="n">
        <f aca="false">COUNTIF(G$3:G$23, "~**")</f>
        <v>0</v>
      </c>
      <c r="H25" s="37" t="n">
        <f aca="false">COUNTIF(H$3:H$23, "~**")</f>
        <v>0</v>
      </c>
      <c r="I25" s="37" t="n">
        <f aca="false">COUNTIF(I$3:I$23, "~**")</f>
        <v>0</v>
      </c>
      <c r="J25" s="37" t="n">
        <f aca="false">COUNTIF(J$3:J$23, "~**")</f>
        <v>0</v>
      </c>
      <c r="K25" s="37" t="n">
        <f aca="false">COUNTIF(K$3:K$23, "~**")</f>
        <v>0</v>
      </c>
      <c r="L25" s="37" t="n">
        <f aca="false">COUNTIF(L$3:L$23, "~**")</f>
        <v>0</v>
      </c>
      <c r="M25" s="54" t="n">
        <f aca="false">COUNTIF(M$3:M$23, "~**")</f>
        <v>0</v>
      </c>
      <c r="N25" s="54" t="n">
        <f aca="false">COUNTIF(N$3:N$23, "~**")</f>
        <v>0</v>
      </c>
      <c r="O25" s="54" t="n">
        <f aca="false">COUNTIF(O$3:O$23, "~**")</f>
        <v>0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</v>
      </c>
      <c r="F26" s="37" t="n">
        <f aca="false">COUNTIF(F$3:F$23, "~**")+COUNTIF(F$3:F$23, "Y")</f>
        <v>0</v>
      </c>
      <c r="G26" s="37" t="n">
        <f aca="false">COUNTIF(G$3:G$23, "~**")+COUNTIF(G$3:G$23, "Y")</f>
        <v>0</v>
      </c>
      <c r="H26" s="37" t="n">
        <f aca="false">COUNTIF(H$3:H$23, "~**")+COUNTIF(H$3:H$23, "Y")</f>
        <v>1</v>
      </c>
      <c r="I26" s="37" t="n">
        <f aca="false">COUNTIF(I$3:I$23, "~**")+COUNTIF(I$3:I$23, "Y")</f>
        <v>1</v>
      </c>
      <c r="J26" s="37" t="n">
        <f aca="false">COUNTIF(J$3:J$23, "~**")+COUNTIF(J$3:J$23, "Y")</f>
        <v>1</v>
      </c>
      <c r="K26" s="37" t="n">
        <f aca="false">COUNTIF(K$3:K$23, "~**")+COUNTIF(K$3:K$23, "Y")</f>
        <v>0</v>
      </c>
      <c r="L26" s="37" t="n">
        <f aca="false">COUNTIF(L$3:L$23, "~**")+COUNTIF(L$3:L$23, "Y")</f>
        <v>0</v>
      </c>
      <c r="M26" s="54" t="n">
        <f aca="false">COUNTIF(M$3:M$23, "~**")+COUNTIF(M$3:M$23, "Y")</f>
        <v>0</v>
      </c>
      <c r="N26" s="54" t="n">
        <f aca="false">COUNTIF(N$3:N$23, "~**")+COUNTIF(N$3:N$23, "Y")</f>
        <v>0</v>
      </c>
      <c r="O26" s="54" t="n">
        <f aca="false">COUNTIF(O$3:O$23, "~**")+COUNTIF(O$3:O$23, "Y")</f>
        <v>0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1</v>
      </c>
      <c r="T28" s="62"/>
      <c r="U28" s="61"/>
      <c r="V28" s="61"/>
      <c r="W28" s="61"/>
      <c r="X28" s="61"/>
      <c r="Y28" s="61" t="n">
        <f aca="false">IFERROR(COUNTA(Y$3:Y23)/COUNTA($B$3:$B$23), 0)</f>
        <v>0.5</v>
      </c>
      <c r="Z28" s="63"/>
      <c r="AA28" s="2"/>
      <c r="AB28" s="2"/>
      <c r="AC28" s="57"/>
      <c r="AE28" s="61" t="n">
        <f aca="false">IFERROR(COUNTIF(AE$3:AE23, "&gt;0")/COUNTA($B$3:$B$22), 0)</f>
        <v>0.5</v>
      </c>
      <c r="AG28" s="61" t="n">
        <f aca="false">IFERROR(COUNTIF(AG$3:AG23, "&gt;0")/COUNTA($B$3:$B$22), 0)</f>
        <v>0</v>
      </c>
      <c r="AH28" s="61" t="n">
        <f aca="false">IFERROR(COUNTIF(AH$3:AH23, "&gt;0")/COUNTA($B$3:$B$22), 0)</f>
        <v>0.5</v>
      </c>
      <c r="AI28" s="64"/>
      <c r="AJ28" s="65"/>
      <c r="AK28" s="2"/>
      <c r="AL28" s="61" t="n">
        <f aca="false">IFERROR(COUNTIF(AL$3:AL23, "&gt;24")/COUNTA($B$3:$B$22), 0)</f>
        <v>0.5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:S23 Y3:AB23 AH3:AH23 AK3:AL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3">
    <cfRule type="expression" priority="7" aboveAverage="0" equalAverage="0" bottom="0" percent="0" rank="0" text="" dxfId="5">
      <formula>R3&gt;45230</formula>
    </cfRule>
  </conditionalFormatting>
  <conditionalFormatting sqref="V3:X23 AC3:AG23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579</v>
      </c>
      <c r="C1" s="3" t="s">
        <v>87</v>
      </c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31.3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45556</v>
      </c>
      <c r="F2" s="15" t="n">
        <f aca="false">E2 + 14</f>
        <v>45570</v>
      </c>
      <c r="G2" s="15" t="n">
        <f aca="false">F2 + 14</f>
        <v>45584</v>
      </c>
      <c r="H2" s="15" t="n">
        <f aca="false">G2 + 14</f>
        <v>45598</v>
      </c>
      <c r="I2" s="15" t="n">
        <f aca="false">H2 + 14</f>
        <v>45612</v>
      </c>
      <c r="J2" s="15" t="n">
        <f aca="false">I2 + 14</f>
        <v>45626</v>
      </c>
      <c r="K2" s="15" t="n">
        <f aca="false">J2 + 14</f>
        <v>45640</v>
      </c>
      <c r="L2" s="15" t="n">
        <f aca="false">K2 + 14</f>
        <v>45654</v>
      </c>
      <c r="M2" s="165" t="s">
        <v>580</v>
      </c>
      <c r="N2" s="101" t="s">
        <v>581</v>
      </c>
      <c r="O2" s="101" t="s">
        <v>582</v>
      </c>
      <c r="P2" s="18"/>
      <c r="Q2" s="19" t="s">
        <v>17</v>
      </c>
      <c r="R2" s="20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20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166" t="s">
        <v>86</v>
      </c>
      <c r="C3" s="27" t="s">
        <v>87</v>
      </c>
      <c r="D3" s="27" t="n">
        <v>464904</v>
      </c>
      <c r="E3" s="28" t="s">
        <v>45</v>
      </c>
      <c r="F3" s="28" t="s">
        <v>519</v>
      </c>
      <c r="G3" s="28" t="s">
        <v>45</v>
      </c>
      <c r="H3" s="28" t="s">
        <v>519</v>
      </c>
      <c r="I3" s="28" t="s">
        <v>519</v>
      </c>
      <c r="J3" s="28" t="s">
        <v>519</v>
      </c>
      <c r="K3" s="28" t="s">
        <v>518</v>
      </c>
      <c r="L3" s="28" t="s">
        <v>519</v>
      </c>
      <c r="M3" s="29" t="s">
        <v>519</v>
      </c>
      <c r="N3" s="29" t="s">
        <v>519</v>
      </c>
      <c r="O3" s="29" t="s">
        <v>519</v>
      </c>
      <c r="P3" s="30"/>
      <c r="Q3" s="31" t="n">
        <v>3001</v>
      </c>
      <c r="R3" s="32" t="n">
        <f aca="false">L2</f>
        <v>45654</v>
      </c>
      <c r="S3" s="33" t="n">
        <v>12</v>
      </c>
      <c r="T3" s="34"/>
      <c r="U3" s="35" t="n">
        <v>3066</v>
      </c>
      <c r="V3" s="36" t="str">
        <f aca="false">N2</f>
        <v>доп 2</v>
      </c>
      <c r="W3" s="36" t="str">
        <f aca="false">O2</f>
        <v>доп 3</v>
      </c>
      <c r="X3" s="28" t="s">
        <v>583</v>
      </c>
      <c r="Y3" s="37" t="n">
        <v>12</v>
      </c>
      <c r="Z3" s="38"/>
      <c r="AA3" s="39"/>
      <c r="AB3" s="39"/>
      <c r="AC3" s="40"/>
      <c r="AD3" s="41" t="n">
        <v>45703</v>
      </c>
      <c r="AE3" s="28" t="n">
        <v>5</v>
      </c>
      <c r="AF3" s="41" t="n">
        <v>45703</v>
      </c>
      <c r="AG3" s="28" t="n">
        <v>1</v>
      </c>
      <c r="AH3" s="37" t="n">
        <f aca="false">SUM(AE3,AG3)</f>
        <v>6</v>
      </c>
      <c r="AI3" s="42"/>
      <c r="AJ3" s="43" t="str">
        <f aca="false">IF(AND(S3&gt;=12,Y3&gt;=12,AH3&gt;=6),"да","нет")</f>
        <v>да</v>
      </c>
      <c r="AK3" s="2"/>
      <c r="AL3" s="28" t="n">
        <v>30</v>
      </c>
      <c r="AM3" s="23" t="n">
        <f aca="false">SUM(S3,Y3,AA3,AB3,AH3,AL3,AK3)</f>
        <v>60</v>
      </c>
      <c r="AN3" s="29" t="str">
        <f aca="false">IF(AND(S3&gt;=12,Y3&gt;=12,AH3&gt;=6,AL3&gt;=24,AM3&gt;=60),"Зачет","Незачет")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166" t="s">
        <v>96</v>
      </c>
      <c r="C4" s="27" t="s">
        <v>87</v>
      </c>
      <c r="D4" s="27" t="n">
        <v>471658</v>
      </c>
      <c r="E4" s="28" t="s">
        <v>45</v>
      </c>
      <c r="F4" s="28" t="s">
        <v>45</v>
      </c>
      <c r="G4" s="28" t="s">
        <v>518</v>
      </c>
      <c r="H4" s="28" t="s">
        <v>45</v>
      </c>
      <c r="I4" s="28" t="s">
        <v>45</v>
      </c>
      <c r="J4" s="28" t="s">
        <v>519</v>
      </c>
      <c r="K4" s="28" t="s">
        <v>45</v>
      </c>
      <c r="L4" s="28" t="s">
        <v>522</v>
      </c>
      <c r="M4" s="29" t="s">
        <v>519</v>
      </c>
      <c r="N4" s="29" t="s">
        <v>519</v>
      </c>
      <c r="O4" s="29" t="s">
        <v>519</v>
      </c>
      <c r="P4" s="30"/>
      <c r="Q4" s="31" t="n">
        <v>3002</v>
      </c>
      <c r="R4" s="32" t="n">
        <f aca="false">L2</f>
        <v>45654</v>
      </c>
      <c r="S4" s="33" t="n">
        <v>14</v>
      </c>
      <c r="T4" s="34"/>
      <c r="U4" s="35" t="n">
        <v>3067</v>
      </c>
      <c r="V4" s="36" t="str">
        <f aca="false">M2</f>
        <v>доп 1</v>
      </c>
      <c r="W4" s="36" t="str">
        <f aca="false">N2</f>
        <v>доп 2</v>
      </c>
      <c r="X4" s="36" t="str">
        <f aca="false">O2</f>
        <v>доп 3</v>
      </c>
      <c r="Y4" s="37" t="n">
        <v>19</v>
      </c>
      <c r="Z4" s="38"/>
      <c r="AA4" s="39"/>
      <c r="AB4" s="39"/>
      <c r="AC4" s="40"/>
      <c r="AD4" s="41" t="n">
        <v>45675</v>
      </c>
      <c r="AE4" s="28" t="n">
        <v>5</v>
      </c>
      <c r="AF4" s="41" t="n">
        <f aca="false">AD4</f>
        <v>45675</v>
      </c>
      <c r="AG4" s="28" t="n">
        <v>1</v>
      </c>
      <c r="AH4" s="37" t="n">
        <f aca="false">SUM(AE4,AG4)</f>
        <v>6</v>
      </c>
      <c r="AI4" s="42"/>
      <c r="AJ4" s="43" t="str">
        <f aca="false">IF(AND(S4&gt;=12,Y4&gt;=12,AH4&gt;=6),"да","нет")</f>
        <v>да</v>
      </c>
      <c r="AK4" s="2"/>
      <c r="AL4" s="28" t="n">
        <v>40</v>
      </c>
      <c r="AM4" s="23" t="n">
        <f aca="false">SUM(S4,Y4,AA4,AB4,AH4,AL4,AK4)</f>
        <v>79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97</v>
      </c>
      <c r="C5" s="27" t="s">
        <v>87</v>
      </c>
      <c r="D5" s="27" t="n">
        <v>374856</v>
      </c>
      <c r="E5" s="28" t="s">
        <v>45</v>
      </c>
      <c r="F5" s="28" t="s">
        <v>518</v>
      </c>
      <c r="G5" s="28" t="s">
        <v>518</v>
      </c>
      <c r="H5" s="28" t="s">
        <v>518</v>
      </c>
      <c r="I5" s="28" t="s">
        <v>519</v>
      </c>
      <c r="J5" s="28" t="s">
        <v>518</v>
      </c>
      <c r="K5" s="28" t="s">
        <v>519</v>
      </c>
      <c r="L5" s="28" t="s">
        <v>518</v>
      </c>
      <c r="M5" s="29"/>
      <c r="N5" s="29"/>
      <c r="O5" s="29"/>
      <c r="P5" s="30"/>
      <c r="Q5" s="31" t="n">
        <v>3003</v>
      </c>
      <c r="R5" s="32" t="n">
        <f aca="false">I2</f>
        <v>45612</v>
      </c>
      <c r="S5" s="33" t="n">
        <v>12</v>
      </c>
      <c r="T5" s="34"/>
      <c r="U5" s="35" t="n">
        <v>30040</v>
      </c>
      <c r="V5" s="36" t="n">
        <v>45675</v>
      </c>
      <c r="W5" s="36" t="n">
        <v>45696</v>
      </c>
      <c r="X5" s="36"/>
      <c r="Y5" s="37"/>
      <c r="Z5" s="38"/>
      <c r="AA5" s="39"/>
      <c r="AB5" s="39"/>
      <c r="AC5" s="44"/>
      <c r="AD5" s="41" t="n">
        <v>45675</v>
      </c>
      <c r="AE5" s="28" t="n">
        <v>0.02</v>
      </c>
      <c r="AF5" s="36"/>
      <c r="AG5" s="36"/>
      <c r="AH5" s="37" t="n">
        <f aca="false">SUM(AE5,AG5)</f>
        <v>0.02</v>
      </c>
      <c r="AI5" s="42"/>
      <c r="AJ5" s="43" t="str">
        <f aca="false">IF(AND(S5&gt;=12,Y5&gt;=12,AH5&gt;=6),"да","нет")</f>
        <v>нет</v>
      </c>
      <c r="AK5" s="2"/>
      <c r="AL5" s="28" t="n">
        <v>0</v>
      </c>
      <c r="AM5" s="23" t="n">
        <f aca="false">SUM(S5,Y5,AA5,AB5,AH5,AL5,AK5)</f>
        <v>12.02</v>
      </c>
      <c r="AN5" s="29" t="str">
        <f aca="false">IF(AND(S5&gt;=12,Y5&gt;=12,AH5&gt;=6,AL5&gt;=24,AM5&gt;=60),"Зачет","Незачет")</f>
        <v>Незачет</v>
      </c>
    </row>
    <row r="6" customFormat="false" ht="15.75" hidden="false" customHeight="false" outlineLevel="0" collapsed="false">
      <c r="A6" s="25" t="n">
        <v>4</v>
      </c>
      <c r="B6" s="26" t="s">
        <v>106</v>
      </c>
      <c r="C6" s="27" t="s">
        <v>87</v>
      </c>
      <c r="D6" s="27" t="n">
        <v>465058</v>
      </c>
      <c r="E6" s="28" t="s">
        <v>45</v>
      </c>
      <c r="F6" s="28" t="s">
        <v>518</v>
      </c>
      <c r="G6" s="28" t="s">
        <v>518</v>
      </c>
      <c r="H6" s="28" t="s">
        <v>518</v>
      </c>
      <c r="I6" s="28" t="s">
        <v>518</v>
      </c>
      <c r="J6" s="28" t="s">
        <v>518</v>
      </c>
      <c r="K6" s="28" t="s">
        <v>522</v>
      </c>
      <c r="L6" s="28" t="s">
        <v>519</v>
      </c>
      <c r="M6" s="29"/>
      <c r="N6" s="29"/>
      <c r="O6" s="29"/>
      <c r="P6" s="30"/>
      <c r="Q6" s="31" t="n">
        <v>3004</v>
      </c>
      <c r="R6" s="32" t="n">
        <f aca="false">L2</f>
        <v>45654</v>
      </c>
      <c r="S6" s="33" t="n">
        <v>13</v>
      </c>
      <c r="T6" s="34"/>
      <c r="U6" s="35" t="n">
        <v>30041</v>
      </c>
      <c r="V6" s="36" t="n">
        <v>45675</v>
      </c>
      <c r="W6" s="36" t="n">
        <v>45675</v>
      </c>
      <c r="X6" s="36" t="n">
        <v>45682</v>
      </c>
      <c r="Y6" s="37" t="n">
        <v>15</v>
      </c>
      <c r="Z6" s="38"/>
      <c r="AA6" s="39"/>
      <c r="AB6" s="39"/>
      <c r="AC6" s="44"/>
      <c r="AD6" s="36" t="n">
        <f aca="false">AD5</f>
        <v>45675</v>
      </c>
      <c r="AE6" s="28" t="n">
        <v>7.5</v>
      </c>
      <c r="AF6" s="36"/>
      <c r="AG6" s="36"/>
      <c r="AH6" s="37" t="n">
        <f aca="false">SUM(AE6,AG6)</f>
        <v>7.5</v>
      </c>
      <c r="AI6" s="42"/>
      <c r="AJ6" s="43" t="str">
        <f aca="false">IF(AND(S6&gt;=12,Y6&gt;=12,AH6&gt;=6),"да","нет")</f>
        <v>да</v>
      </c>
      <c r="AK6" s="2"/>
      <c r="AL6" s="28" t="n">
        <v>25</v>
      </c>
      <c r="AM6" s="23" t="n">
        <f aca="false">SUM(S6,Y6,AA6,AB6,AH6,AL6,AK6)</f>
        <v>60.5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166" t="s">
        <v>108</v>
      </c>
      <c r="C7" s="27" t="s">
        <v>87</v>
      </c>
      <c r="D7" s="27" t="n">
        <v>408184</v>
      </c>
      <c r="E7" s="28" t="s">
        <v>45</v>
      </c>
      <c r="F7" s="28" t="s">
        <v>45</v>
      </c>
      <c r="G7" s="28" t="s">
        <v>518</v>
      </c>
      <c r="H7" s="28" t="s">
        <v>518</v>
      </c>
      <c r="I7" s="28" t="s">
        <v>519</v>
      </c>
      <c r="J7" s="28" t="s">
        <v>518</v>
      </c>
      <c r="K7" s="28" t="s">
        <v>518</v>
      </c>
      <c r="L7" s="28" t="s">
        <v>519</v>
      </c>
      <c r="M7" s="29"/>
      <c r="N7" s="29"/>
      <c r="O7" s="29" t="s">
        <v>519</v>
      </c>
      <c r="P7" s="30"/>
      <c r="Q7" s="31" t="n">
        <v>3005</v>
      </c>
      <c r="R7" s="32" t="n">
        <f aca="false">L2</f>
        <v>45654</v>
      </c>
      <c r="S7" s="33" t="n">
        <v>16.5</v>
      </c>
      <c r="T7" s="34"/>
      <c r="U7" s="35" t="n">
        <v>30200</v>
      </c>
      <c r="V7" s="36" t="n">
        <f aca="false">L2</f>
        <v>45654</v>
      </c>
      <c r="W7" s="36" t="str">
        <f aca="false">M2</f>
        <v>доп 1</v>
      </c>
      <c r="X7" s="36" t="str">
        <f aca="false">O2</f>
        <v>доп 3</v>
      </c>
      <c r="Y7" s="33" t="n">
        <v>16</v>
      </c>
      <c r="Z7" s="38"/>
      <c r="AA7" s="39"/>
      <c r="AB7" s="39"/>
      <c r="AC7" s="40"/>
      <c r="AD7" s="41" t="n">
        <f aca="false">AD9</f>
        <v>45703</v>
      </c>
      <c r="AE7" s="28" t="n">
        <v>5</v>
      </c>
      <c r="AF7" s="41" t="n">
        <f aca="false">AD7</f>
        <v>45703</v>
      </c>
      <c r="AG7" s="28" t="n">
        <v>1</v>
      </c>
      <c r="AH7" s="37" t="n">
        <f aca="false">SUM(AE7,AG7)</f>
        <v>6</v>
      </c>
      <c r="AI7" s="42"/>
      <c r="AJ7" s="43" t="str">
        <f aca="false">IF(AND(S7&gt;=12,Y7&gt;=12,AH7&gt;=6),"да","нет")</f>
        <v>да</v>
      </c>
      <c r="AK7" s="2"/>
      <c r="AL7" s="28" t="n">
        <v>40</v>
      </c>
      <c r="AM7" s="23" t="n">
        <f aca="false">SUM(S7,Y7,AA7,AB7,AH7,AL7,AK7)</f>
        <v>78.5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112</v>
      </c>
      <c r="C8" s="27" t="s">
        <v>87</v>
      </c>
      <c r="D8" s="27" t="n">
        <v>465186</v>
      </c>
      <c r="E8" s="28" t="s">
        <v>45</v>
      </c>
      <c r="F8" s="28" t="s">
        <v>522</v>
      </c>
      <c r="G8" s="28" t="s">
        <v>519</v>
      </c>
      <c r="H8" s="28" t="s">
        <v>45</v>
      </c>
      <c r="I8" s="28" t="s">
        <v>518</v>
      </c>
      <c r="J8" s="28" t="s">
        <v>518</v>
      </c>
      <c r="K8" s="28" t="s">
        <v>519</v>
      </c>
      <c r="L8" s="28" t="s">
        <v>518</v>
      </c>
      <c r="M8" s="29"/>
      <c r="N8" s="29"/>
      <c r="O8" s="29"/>
      <c r="P8" s="30"/>
      <c r="Q8" s="31" t="n">
        <v>3006</v>
      </c>
      <c r="R8" s="32" t="n">
        <f aca="false">G2</f>
        <v>45584</v>
      </c>
      <c r="S8" s="33" t="n">
        <v>20</v>
      </c>
      <c r="T8" s="34"/>
      <c r="U8" s="35" t="n">
        <v>30021</v>
      </c>
      <c r="V8" s="36" t="n">
        <v>45675</v>
      </c>
      <c r="W8" s="36" t="n">
        <v>45675</v>
      </c>
      <c r="X8" s="36" t="n">
        <f aca="false">W8</f>
        <v>45675</v>
      </c>
      <c r="Y8" s="37" t="n">
        <v>14</v>
      </c>
      <c r="Z8" s="38"/>
      <c r="AA8" s="39"/>
      <c r="AB8" s="39"/>
      <c r="AC8" s="40"/>
      <c r="AD8" s="41" t="n">
        <v>45646</v>
      </c>
      <c r="AE8" s="28" t="n">
        <v>8</v>
      </c>
      <c r="AF8" s="41"/>
      <c r="AG8" s="41"/>
      <c r="AH8" s="37" t="n">
        <f aca="false">SUM(AE8,AG8)</f>
        <v>8</v>
      </c>
      <c r="AI8" s="42"/>
      <c r="AJ8" s="43" t="str">
        <f aca="false">IF(AND(S8&gt;=12,Y8&gt;=12,AH8&gt;=6),"да","нет")</f>
        <v>да</v>
      </c>
      <c r="AK8" s="2"/>
      <c r="AL8" s="28" t="n">
        <v>40</v>
      </c>
      <c r="AM8" s="23" t="n">
        <f aca="false">SUM(S8,Y8,AA8,AB8,AH8,AL8,AK8)</f>
        <v>82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166" t="s">
        <v>140</v>
      </c>
      <c r="C9" s="27" t="s">
        <v>87</v>
      </c>
      <c r="D9" s="27" t="n">
        <v>372854</v>
      </c>
      <c r="E9" s="28" t="s">
        <v>45</v>
      </c>
      <c r="F9" s="28" t="s">
        <v>45</v>
      </c>
      <c r="G9" s="28" t="s">
        <v>45</v>
      </c>
      <c r="H9" s="28" t="s">
        <v>519</v>
      </c>
      <c r="I9" s="28" t="s">
        <v>519</v>
      </c>
      <c r="J9" s="28" t="s">
        <v>518</v>
      </c>
      <c r="K9" s="28" t="s">
        <v>519</v>
      </c>
      <c r="L9" s="28" t="s">
        <v>519</v>
      </c>
      <c r="M9" s="29"/>
      <c r="N9" s="29"/>
      <c r="O9" s="29"/>
      <c r="P9" s="30"/>
      <c r="Q9" s="31" t="n">
        <v>3007</v>
      </c>
      <c r="R9" s="32" t="n">
        <f aca="false">I2</f>
        <v>45612</v>
      </c>
      <c r="S9" s="33" t="n">
        <v>18</v>
      </c>
      <c r="T9" s="34"/>
      <c r="U9" s="35" t="n">
        <v>3005</v>
      </c>
      <c r="V9" s="36" t="n">
        <f aca="false">K2</f>
        <v>45640</v>
      </c>
      <c r="W9" s="36" t="n">
        <f aca="false">K2</f>
        <v>45640</v>
      </c>
      <c r="X9" s="36" t="n">
        <f aca="false">L2</f>
        <v>45654</v>
      </c>
      <c r="Y9" s="37" t="n">
        <v>19</v>
      </c>
      <c r="Z9" s="38"/>
      <c r="AA9" s="39"/>
      <c r="AB9" s="39"/>
      <c r="AC9" s="44"/>
      <c r="AD9" s="36" t="n">
        <f aca="false">AD29</f>
        <v>45703</v>
      </c>
      <c r="AE9" s="28" t="n">
        <v>5</v>
      </c>
      <c r="AF9" s="36" t="n">
        <f aca="false">AF29</f>
        <v>45703</v>
      </c>
      <c r="AG9" s="28" t="n">
        <v>1</v>
      </c>
      <c r="AH9" s="37" t="n">
        <f aca="false">SUM(AE9,AG9)</f>
        <v>6</v>
      </c>
      <c r="AI9" s="42"/>
      <c r="AJ9" s="43" t="str">
        <f aca="false">IF(AND(S9&gt;=12,Y9&gt;=12,AH9&gt;=6),"да","нет")</f>
        <v>да</v>
      </c>
      <c r="AK9" s="2"/>
      <c r="AL9" s="28" t="n">
        <v>35</v>
      </c>
      <c r="AM9" s="23" t="n">
        <f aca="false">SUM(S9,Y9,AA9,AB9,AH9,AL9,AK9)</f>
        <v>78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141</v>
      </c>
      <c r="C10" s="27" t="s">
        <v>87</v>
      </c>
      <c r="D10" s="27" t="n">
        <v>463219</v>
      </c>
      <c r="E10" s="28" t="s">
        <v>45</v>
      </c>
      <c r="F10" s="28" t="s">
        <v>518</v>
      </c>
      <c r="G10" s="28" t="s">
        <v>518</v>
      </c>
      <c r="H10" s="28" t="s">
        <v>518</v>
      </c>
      <c r="I10" s="28" t="s">
        <v>518</v>
      </c>
      <c r="J10" s="28" t="s">
        <v>518</v>
      </c>
      <c r="K10" s="28" t="s">
        <v>518</v>
      </c>
      <c r="L10" s="28" t="s">
        <v>518</v>
      </c>
      <c r="M10" s="29"/>
      <c r="N10" s="29"/>
      <c r="O10" s="29"/>
      <c r="P10" s="30"/>
      <c r="Q10" s="31" t="n">
        <v>3008</v>
      </c>
      <c r="R10" s="32"/>
      <c r="S10" s="33"/>
      <c r="T10" s="34"/>
      <c r="U10" s="35"/>
      <c r="V10" s="36"/>
      <c r="W10" s="36"/>
      <c r="X10" s="36"/>
      <c r="Y10" s="37"/>
      <c r="Z10" s="38"/>
      <c r="AA10" s="39"/>
      <c r="AB10" s="39"/>
      <c r="AC10" s="40"/>
      <c r="AD10" s="41"/>
      <c r="AE10" s="41"/>
      <c r="AF10" s="41"/>
      <c r="AG10" s="41"/>
      <c r="AH10" s="37" t="n">
        <f aca="false">SUM(AE10,AG10)</f>
        <v>0</v>
      </c>
      <c r="AI10" s="42"/>
      <c r="AJ10" s="43" t="str">
        <f aca="false">IF(AND(S10&gt;=12,Y10&gt;=12,AH10&gt;=6),"да","нет")</f>
        <v>нет</v>
      </c>
      <c r="AK10" s="2"/>
      <c r="AL10" s="28" t="n">
        <v>0</v>
      </c>
      <c r="AM10" s="23" t="n">
        <f aca="false">SUM(S10,Y10,AA10,AB10,AH10,AL10,AK10)</f>
        <v>0</v>
      </c>
      <c r="AN10" s="29" t="str">
        <f aca="false">IF(AND(S10&gt;=12,Y10&gt;=12,AH10&gt;=6,AL10&gt;=24,AM10&gt;=60),"Зачет","Незачет")</f>
        <v>Незачет</v>
      </c>
    </row>
    <row r="11" customFormat="false" ht="15.75" hidden="false" customHeight="false" outlineLevel="0" collapsed="false">
      <c r="A11" s="25" t="n">
        <v>9</v>
      </c>
      <c r="B11" s="26" t="s">
        <v>143</v>
      </c>
      <c r="C11" s="27" t="s">
        <v>87</v>
      </c>
      <c r="D11" s="27" t="n">
        <v>441010</v>
      </c>
      <c r="E11" s="28" t="s">
        <v>45</v>
      </c>
      <c r="F11" s="28" t="s">
        <v>45</v>
      </c>
      <c r="G11" s="28" t="s">
        <v>518</v>
      </c>
      <c r="H11" s="28" t="s">
        <v>518</v>
      </c>
      <c r="I11" s="28" t="s">
        <v>518</v>
      </c>
      <c r="J11" s="28" t="s">
        <v>518</v>
      </c>
      <c r="K11" s="28" t="s">
        <v>518</v>
      </c>
      <c r="L11" s="28" t="s">
        <v>518</v>
      </c>
      <c r="M11" s="29"/>
      <c r="N11" s="29"/>
      <c r="O11" s="29"/>
      <c r="P11" s="30"/>
      <c r="Q11" s="31" t="n">
        <v>3009</v>
      </c>
      <c r="R11" s="32"/>
      <c r="S11" s="33" t="s">
        <v>584</v>
      </c>
      <c r="T11" s="34"/>
      <c r="U11" s="35"/>
      <c r="V11" s="36"/>
      <c r="W11" s="36"/>
      <c r="X11" s="36"/>
      <c r="Y11" s="37"/>
      <c r="Z11" s="38"/>
      <c r="AA11" s="39"/>
      <c r="AB11" s="39"/>
      <c r="AC11" s="40"/>
      <c r="AD11" s="41" t="n">
        <v>45646</v>
      </c>
      <c r="AE11" s="28" t="n">
        <v>0.01</v>
      </c>
      <c r="AF11" s="41"/>
      <c r="AG11" s="41"/>
      <c r="AH11" s="37" t="n">
        <f aca="false">SUM(AE11,AG11)</f>
        <v>0.01</v>
      </c>
      <c r="AI11" s="42"/>
      <c r="AJ11" s="43" t="str">
        <f aca="false">IF(AND(S11&gt;=12,Y11&gt;=12,AH11&gt;=6),"да","нет")</f>
        <v>нет</v>
      </c>
      <c r="AK11" s="2"/>
      <c r="AL11" s="28" t="n">
        <v>0</v>
      </c>
      <c r="AM11" s="23" t="n">
        <f aca="false">SUM(S11,Y11,AA11,AB11,AH11,AL11,AK11)</f>
        <v>0.01</v>
      </c>
      <c r="AN11" s="29" t="str">
        <f aca="false">IF(AND(S11&gt;=12,Y11&gt;=12,AH11&gt;=6,AL11&gt;=24,AM11&gt;=60),"Зачет","Незачет")</f>
        <v>Незачет</v>
      </c>
    </row>
    <row r="12" customFormat="false" ht="15.75" hidden="false" customHeight="false" outlineLevel="0" collapsed="false">
      <c r="A12" s="25" t="n">
        <v>10</v>
      </c>
      <c r="B12" s="166" t="s">
        <v>171</v>
      </c>
      <c r="C12" s="27" t="s">
        <v>87</v>
      </c>
      <c r="D12" s="27" t="n">
        <v>465716</v>
      </c>
      <c r="E12" s="28" t="s">
        <v>45</v>
      </c>
      <c r="F12" s="28" t="s">
        <v>45</v>
      </c>
      <c r="G12" s="28" t="s">
        <v>45</v>
      </c>
      <c r="H12" s="28" t="s">
        <v>518</v>
      </c>
      <c r="I12" s="28" t="s">
        <v>518</v>
      </c>
      <c r="J12" s="28" t="s">
        <v>45</v>
      </c>
      <c r="K12" s="28" t="s">
        <v>519</v>
      </c>
      <c r="L12" s="28" t="s">
        <v>518</v>
      </c>
      <c r="M12" s="29" t="s">
        <v>519</v>
      </c>
      <c r="N12" s="29"/>
      <c r="O12" s="29" t="s">
        <v>519</v>
      </c>
      <c r="P12" s="30"/>
      <c r="Q12" s="31" t="n">
        <v>3010</v>
      </c>
      <c r="R12" s="32" t="n">
        <f aca="false">K2</f>
        <v>45640</v>
      </c>
      <c r="S12" s="33" t="n">
        <v>15</v>
      </c>
      <c r="T12" s="34"/>
      <c r="U12" s="35" t="n">
        <v>3030</v>
      </c>
      <c r="V12" s="36" t="str">
        <f aca="false">M2</f>
        <v>доп 1</v>
      </c>
      <c r="W12" s="36" t="str">
        <f aca="false">O2</f>
        <v>доп 3</v>
      </c>
      <c r="X12" s="36" t="str">
        <f aca="false">O2</f>
        <v>доп 3</v>
      </c>
      <c r="Y12" s="37" t="n">
        <v>19</v>
      </c>
      <c r="Z12" s="38"/>
      <c r="AA12" s="39"/>
      <c r="AB12" s="39"/>
      <c r="AC12" s="40"/>
      <c r="AD12" s="41" t="n">
        <v>45703</v>
      </c>
      <c r="AE12" s="28" t="n">
        <v>5</v>
      </c>
      <c r="AF12" s="41" t="n">
        <v>45703</v>
      </c>
      <c r="AG12" s="28" t="n">
        <v>1</v>
      </c>
      <c r="AH12" s="37" t="n">
        <f aca="false">SUM(AE12,AG12)</f>
        <v>6</v>
      </c>
      <c r="AI12" s="42"/>
      <c r="AJ12" s="43" t="str">
        <f aca="false">IF(AND(S12&gt;=12,Y12&gt;=12,AH12&gt;=6),"да","нет")</f>
        <v>да</v>
      </c>
      <c r="AK12" s="2"/>
      <c r="AL12" s="28" t="n">
        <v>30</v>
      </c>
      <c r="AM12" s="23" t="n">
        <f aca="false">SUM(S12,Y12,AA12,AB12,AH12,AL12,AK12)</f>
        <v>70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166" t="s">
        <v>181</v>
      </c>
      <c r="C13" s="27" t="s">
        <v>87</v>
      </c>
      <c r="D13" s="27" t="n">
        <v>471890</v>
      </c>
      <c r="E13" s="28" t="s">
        <v>45</v>
      </c>
      <c r="F13" s="28" t="s">
        <v>518</v>
      </c>
      <c r="G13" s="28" t="s">
        <v>518</v>
      </c>
      <c r="H13" s="28" t="s">
        <v>519</v>
      </c>
      <c r="I13" s="28" t="s">
        <v>519</v>
      </c>
      <c r="J13" s="28" t="s">
        <v>45</v>
      </c>
      <c r="K13" s="28" t="s">
        <v>519</v>
      </c>
      <c r="L13" s="28" t="s">
        <v>519</v>
      </c>
      <c r="M13" s="29" t="s">
        <v>519</v>
      </c>
      <c r="N13" s="29"/>
      <c r="O13" s="29"/>
      <c r="P13" s="30"/>
      <c r="Q13" s="31" t="n">
        <v>3011</v>
      </c>
      <c r="R13" s="32" t="n">
        <f aca="false">K2</f>
        <v>45640</v>
      </c>
      <c r="S13" s="33" t="n">
        <v>14</v>
      </c>
      <c r="T13" s="34"/>
      <c r="U13" s="35" t="n">
        <v>3011</v>
      </c>
      <c r="V13" s="36" t="n">
        <f aca="false">L2</f>
        <v>45654</v>
      </c>
      <c r="W13" s="36" t="str">
        <f aca="false">M2</f>
        <v>доп 1</v>
      </c>
      <c r="X13" s="36" t="str">
        <f aca="false">M2</f>
        <v>доп 1</v>
      </c>
      <c r="Y13" s="37" t="n">
        <v>18</v>
      </c>
      <c r="Z13" s="38"/>
      <c r="AA13" s="39"/>
      <c r="AB13" s="39"/>
      <c r="AC13" s="40"/>
      <c r="AD13" s="41" t="n">
        <f aca="false">AD12</f>
        <v>45703</v>
      </c>
      <c r="AE13" s="28" t="n">
        <v>5</v>
      </c>
      <c r="AF13" s="41" t="n">
        <f aca="false">AD13</f>
        <v>45703</v>
      </c>
      <c r="AG13" s="28" t="n">
        <v>1</v>
      </c>
      <c r="AH13" s="37" t="n">
        <f aca="false">SUM(AE13,AG13)</f>
        <v>6</v>
      </c>
      <c r="AI13" s="42"/>
      <c r="AJ13" s="43" t="str">
        <f aca="false">IF(AND(S13&gt;=12,Y13&gt;=12,AH13&gt;=6),"да","нет")</f>
        <v>да</v>
      </c>
      <c r="AK13" s="2"/>
      <c r="AL13" s="28" t="n">
        <v>40</v>
      </c>
      <c r="AM13" s="23" t="n">
        <f aca="false">SUM(S13,Y13,AA13,AB13,AH13,AL13,AK13)</f>
        <v>78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166" t="s">
        <v>189</v>
      </c>
      <c r="C14" s="27" t="s">
        <v>87</v>
      </c>
      <c r="D14" s="27" t="n">
        <v>471917</v>
      </c>
      <c r="E14" s="28" t="s">
        <v>45</v>
      </c>
      <c r="F14" s="28" t="s">
        <v>45</v>
      </c>
      <c r="G14" s="28" t="s">
        <v>45</v>
      </c>
      <c r="H14" s="28" t="s">
        <v>45</v>
      </c>
      <c r="I14" s="28" t="s">
        <v>519</v>
      </c>
      <c r="J14" s="28" t="s">
        <v>519</v>
      </c>
      <c r="K14" s="28" t="s">
        <v>45</v>
      </c>
      <c r="L14" s="28" t="s">
        <v>519</v>
      </c>
      <c r="M14" s="29" t="s">
        <v>519</v>
      </c>
      <c r="N14" s="29" t="s">
        <v>519</v>
      </c>
      <c r="O14" s="29"/>
      <c r="P14" s="30"/>
      <c r="Q14" s="31" t="n">
        <v>3012</v>
      </c>
      <c r="R14" s="32" t="n">
        <f aca="false">J2</f>
        <v>45626</v>
      </c>
      <c r="S14" s="33" t="n">
        <v>20</v>
      </c>
      <c r="T14" s="34"/>
      <c r="U14" s="35" t="n">
        <v>3009</v>
      </c>
      <c r="V14" s="36" t="n">
        <f aca="false">L2</f>
        <v>45654</v>
      </c>
      <c r="W14" s="36" t="str">
        <f aca="false">M2</f>
        <v>доп 1</v>
      </c>
      <c r="X14" s="36" t="str">
        <f aca="false">N2</f>
        <v>доп 2</v>
      </c>
      <c r="Y14" s="37" t="n">
        <v>20</v>
      </c>
      <c r="Z14" s="38"/>
      <c r="AA14" s="39"/>
      <c r="AB14" s="39"/>
      <c r="AC14" s="40"/>
      <c r="AD14" s="41" t="n">
        <v>45646</v>
      </c>
      <c r="AE14" s="28" t="n">
        <v>9</v>
      </c>
      <c r="AF14" s="41"/>
      <c r="AG14" s="41"/>
      <c r="AH14" s="37" t="n">
        <f aca="false">SUM(AE14,AG14)</f>
        <v>9</v>
      </c>
      <c r="AI14" s="42"/>
      <c r="AJ14" s="43" t="str">
        <f aca="false">IF(AND(S14&gt;=12,Y14&gt;=12,AH14&gt;=6),"да","нет")</f>
        <v>да</v>
      </c>
      <c r="AK14" s="2"/>
      <c r="AL14" s="28" t="n">
        <v>40</v>
      </c>
      <c r="AM14" s="23" t="n">
        <f aca="false">SUM(S14,Y14,AA14,AB14,AH14,AL14,AK14)</f>
        <v>89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194</v>
      </c>
      <c r="C15" s="27" t="s">
        <v>87</v>
      </c>
      <c r="D15" s="27" t="n">
        <v>465879</v>
      </c>
      <c r="E15" s="28" t="s">
        <v>45</v>
      </c>
      <c r="F15" s="28" t="s">
        <v>518</v>
      </c>
      <c r="G15" s="28" t="s">
        <v>45</v>
      </c>
      <c r="H15" s="28" t="s">
        <v>519</v>
      </c>
      <c r="I15" s="28" t="s">
        <v>45</v>
      </c>
      <c r="J15" s="28" t="s">
        <v>519</v>
      </c>
      <c r="K15" s="28" t="s">
        <v>518</v>
      </c>
      <c r="L15" s="28" t="s">
        <v>518</v>
      </c>
      <c r="M15" s="29"/>
      <c r="N15" s="29"/>
      <c r="O15" s="29"/>
      <c r="P15" s="30"/>
      <c r="Q15" s="31" t="n">
        <v>3013</v>
      </c>
      <c r="R15" s="32" t="n">
        <f aca="false">J2</f>
        <v>45626</v>
      </c>
      <c r="S15" s="33" t="n">
        <v>16</v>
      </c>
      <c r="T15" s="34"/>
      <c r="U15" s="35" t="n">
        <v>30030</v>
      </c>
      <c r="V15" s="36" t="n">
        <v>45675</v>
      </c>
      <c r="W15" s="36" t="n">
        <v>45682</v>
      </c>
      <c r="X15" s="36" t="n">
        <v>45696</v>
      </c>
      <c r="Y15" s="37" t="n">
        <v>12</v>
      </c>
      <c r="Z15" s="38"/>
      <c r="AA15" s="39"/>
      <c r="AB15" s="39"/>
      <c r="AC15" s="40"/>
      <c r="AD15" s="41" t="n">
        <v>45703</v>
      </c>
      <c r="AE15" s="28" t="n">
        <v>0.02</v>
      </c>
      <c r="AF15" s="41"/>
      <c r="AG15" s="41"/>
      <c r="AH15" s="37" t="n">
        <f aca="false">SUM(AE15,AG15)</f>
        <v>0.02</v>
      </c>
      <c r="AI15" s="42"/>
      <c r="AJ15" s="43" t="str">
        <f aca="false">IF(AND(S15&gt;=12,Y15&gt;=12,AH15&gt;=6),"да","нет")</f>
        <v>нет</v>
      </c>
      <c r="AK15" s="2"/>
      <c r="AL15" s="28" t="n">
        <v>0</v>
      </c>
      <c r="AM15" s="23" t="n">
        <f aca="false">SUM(S15,Y15,AA15,AB15,AH15,AL15,AK15)</f>
        <v>28.02</v>
      </c>
      <c r="AN15" s="29" t="str">
        <f aca="false">IF(AND(S15&gt;=12,Y15&gt;=12,AH15&gt;=6,AL15&gt;=24,AM15&gt;=60),"Зачет","Незачет")</f>
        <v>Незачет</v>
      </c>
    </row>
    <row r="16" customFormat="false" ht="15.75" hidden="false" customHeight="false" outlineLevel="0" collapsed="false">
      <c r="A16" s="25" t="n">
        <v>14</v>
      </c>
      <c r="B16" s="26" t="s">
        <v>195</v>
      </c>
      <c r="C16" s="27" t="s">
        <v>87</v>
      </c>
      <c r="D16" s="27" t="n">
        <v>465883</v>
      </c>
      <c r="E16" s="28" t="s">
        <v>45</v>
      </c>
      <c r="F16" s="28" t="s">
        <v>518</v>
      </c>
      <c r="G16" s="28" t="s">
        <v>518</v>
      </c>
      <c r="H16" s="28" t="s">
        <v>519</v>
      </c>
      <c r="I16" s="28" t="s">
        <v>546</v>
      </c>
      <c r="J16" s="28" t="s">
        <v>518</v>
      </c>
      <c r="K16" s="28" t="s">
        <v>518</v>
      </c>
      <c r="L16" s="28" t="s">
        <v>519</v>
      </c>
      <c r="M16" s="29"/>
      <c r="N16" s="29"/>
      <c r="O16" s="29"/>
      <c r="P16" s="30"/>
      <c r="Q16" s="31" t="n">
        <v>3014</v>
      </c>
      <c r="R16" s="32" t="n">
        <f aca="false">I2</f>
        <v>45612</v>
      </c>
      <c r="S16" s="33" t="n">
        <v>17</v>
      </c>
      <c r="T16" s="34"/>
      <c r="U16" s="35" t="n">
        <v>30023</v>
      </c>
      <c r="V16" s="36" t="n">
        <v>45703</v>
      </c>
      <c r="W16" s="36" t="n">
        <f aca="false">V16</f>
        <v>45703</v>
      </c>
      <c r="X16" s="36" t="n">
        <f aca="false">W16</f>
        <v>45703</v>
      </c>
      <c r="Y16" s="37" t="n">
        <v>14</v>
      </c>
      <c r="Z16" s="38"/>
      <c r="AA16" s="39"/>
      <c r="AB16" s="39"/>
      <c r="AC16" s="40"/>
      <c r="AD16" s="41" t="n">
        <v>45675</v>
      </c>
      <c r="AE16" s="28" t="n">
        <v>5</v>
      </c>
      <c r="AF16" s="41" t="n">
        <f aca="false">AD16</f>
        <v>45675</v>
      </c>
      <c r="AG16" s="28" t="n">
        <v>1</v>
      </c>
      <c r="AH16" s="37" t="n">
        <f aca="false">SUM(AE16,AG16)</f>
        <v>6</v>
      </c>
      <c r="AI16" s="42"/>
      <c r="AJ16" s="43" t="str">
        <f aca="false">IF(AND(S16&gt;=12,Y16&gt;=12,AH16&gt;=6),"да","нет")</f>
        <v>да</v>
      </c>
      <c r="AK16" s="2"/>
      <c r="AL16" s="28" t="n">
        <v>35</v>
      </c>
      <c r="AM16" s="23" t="n">
        <f aca="false">SUM(S16,Y16,AA16,AB16,AH16,AL16,AK16)</f>
        <v>72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198</v>
      </c>
      <c r="C17" s="27" t="s">
        <v>87</v>
      </c>
      <c r="D17" s="27" t="n">
        <v>465903</v>
      </c>
      <c r="E17" s="28" t="s">
        <v>45</v>
      </c>
      <c r="F17" s="28" t="s">
        <v>518</v>
      </c>
      <c r="G17" s="28" t="s">
        <v>518</v>
      </c>
      <c r="H17" s="28" t="s">
        <v>518</v>
      </c>
      <c r="I17" s="28" t="s">
        <v>519</v>
      </c>
      <c r="J17" s="28" t="s">
        <v>519</v>
      </c>
      <c r="K17" s="28" t="s">
        <v>518</v>
      </c>
      <c r="L17" s="28" t="s">
        <v>518</v>
      </c>
      <c r="M17" s="29"/>
      <c r="N17" s="29"/>
      <c r="O17" s="29"/>
      <c r="P17" s="30"/>
      <c r="Q17" s="31" t="n">
        <v>3015</v>
      </c>
      <c r="R17" s="32" t="n">
        <f aca="false">I2</f>
        <v>45612</v>
      </c>
      <c r="S17" s="33" t="n">
        <v>17</v>
      </c>
      <c r="T17" s="34"/>
      <c r="U17" s="35" t="n">
        <v>30022</v>
      </c>
      <c r="V17" s="36" t="n">
        <f aca="false">J2</f>
        <v>45626</v>
      </c>
      <c r="W17" s="36" t="n">
        <f aca="false">J2</f>
        <v>45626</v>
      </c>
      <c r="X17" s="36" t="n">
        <f aca="false">J2</f>
        <v>45626</v>
      </c>
      <c r="Y17" s="37" t="n">
        <v>20</v>
      </c>
      <c r="Z17" s="38"/>
      <c r="AA17" s="39"/>
      <c r="AB17" s="39"/>
      <c r="AC17" s="44"/>
      <c r="AD17" s="41" t="n">
        <v>45646</v>
      </c>
      <c r="AE17" s="28" t="n">
        <v>10</v>
      </c>
      <c r="AF17" s="36"/>
      <c r="AG17" s="36"/>
      <c r="AH17" s="37" t="n">
        <f aca="false">SUM(AE17,AG17)</f>
        <v>10</v>
      </c>
      <c r="AI17" s="42"/>
      <c r="AJ17" s="43" t="str">
        <f aca="false">IF(AND(S17&gt;=12,Y17&gt;=12,AH17&gt;=6),"да","нет")</f>
        <v>да</v>
      </c>
      <c r="AK17" s="2"/>
      <c r="AL17" s="28" t="n">
        <v>40</v>
      </c>
      <c r="AM17" s="23" t="n">
        <f aca="false">SUM(S17,Y17,AA17,AB17,AH17,AL17,AK17)</f>
        <v>87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204</v>
      </c>
      <c r="C18" s="27" t="s">
        <v>87</v>
      </c>
      <c r="D18" s="27" t="n">
        <v>465983</v>
      </c>
      <c r="E18" s="28" t="s">
        <v>45</v>
      </c>
      <c r="F18" s="28" t="s">
        <v>519</v>
      </c>
      <c r="G18" s="28" t="s">
        <v>522</v>
      </c>
      <c r="H18" s="28" t="s">
        <v>45</v>
      </c>
      <c r="I18" s="28" t="s">
        <v>519</v>
      </c>
      <c r="J18" s="28" t="s">
        <v>518</v>
      </c>
      <c r="K18" s="28" t="s">
        <v>519</v>
      </c>
      <c r="L18" s="28" t="s">
        <v>522</v>
      </c>
      <c r="M18" s="29"/>
      <c r="N18" s="29"/>
      <c r="O18" s="29"/>
      <c r="P18" s="30"/>
      <c r="Q18" s="31" t="n">
        <v>3016</v>
      </c>
      <c r="R18" s="32" t="n">
        <f aca="false">I2</f>
        <v>45612</v>
      </c>
      <c r="S18" s="33" t="n">
        <v>20</v>
      </c>
      <c r="T18" s="34"/>
      <c r="U18" s="35" t="n">
        <v>30024</v>
      </c>
      <c r="V18" s="36" t="n">
        <f aca="false">K2</f>
        <v>45640</v>
      </c>
      <c r="W18" s="36" t="n">
        <f aca="false">L2</f>
        <v>45654</v>
      </c>
      <c r="X18" s="36" t="n">
        <f aca="false">L2</f>
        <v>45654</v>
      </c>
      <c r="Y18" s="37" t="n">
        <v>17.5</v>
      </c>
      <c r="Z18" s="38"/>
      <c r="AA18" s="39"/>
      <c r="AB18" s="39"/>
      <c r="AC18" s="40"/>
      <c r="AD18" s="41" t="n">
        <f aca="false">AF18</f>
        <v>45675</v>
      </c>
      <c r="AE18" s="28" t="n">
        <v>5</v>
      </c>
      <c r="AF18" s="41" t="n">
        <v>45675</v>
      </c>
      <c r="AG18" s="28" t="n">
        <v>1</v>
      </c>
      <c r="AH18" s="37" t="n">
        <f aca="false">SUM(AE18,AG18)</f>
        <v>6</v>
      </c>
      <c r="AI18" s="42"/>
      <c r="AJ18" s="43" t="str">
        <f aca="false">IF(AND(S18&gt;=12,Y18&gt;=12,AH18&gt;=6),"да","нет")</f>
        <v>да</v>
      </c>
      <c r="AK18" s="2"/>
      <c r="AL18" s="28" t="n">
        <v>40</v>
      </c>
      <c r="AM18" s="23" t="n">
        <f aca="false">SUM(S18,Y18,AA18,AB18,AH18,AL18,AK18)</f>
        <v>83.5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166" t="s">
        <v>214</v>
      </c>
      <c r="C19" s="27" t="s">
        <v>87</v>
      </c>
      <c r="D19" s="27" t="n">
        <v>466072</v>
      </c>
      <c r="E19" s="28" t="s">
        <v>45</v>
      </c>
      <c r="F19" s="28" t="s">
        <v>518</v>
      </c>
      <c r="G19" s="28" t="s">
        <v>45</v>
      </c>
      <c r="H19" s="28" t="s">
        <v>519</v>
      </c>
      <c r="I19" s="28" t="s">
        <v>519</v>
      </c>
      <c r="J19" s="28" t="s">
        <v>518</v>
      </c>
      <c r="K19" s="28" t="s">
        <v>518</v>
      </c>
      <c r="L19" s="28" t="s">
        <v>519</v>
      </c>
      <c r="M19" s="29" t="s">
        <v>519</v>
      </c>
      <c r="N19" s="29"/>
      <c r="O19" s="29"/>
      <c r="P19" s="30"/>
      <c r="Q19" s="31" t="n">
        <v>3017</v>
      </c>
      <c r="R19" s="32" t="n">
        <f aca="false">I2</f>
        <v>45612</v>
      </c>
      <c r="S19" s="33" t="n">
        <v>18</v>
      </c>
      <c r="T19" s="34"/>
      <c r="U19" s="35" t="n">
        <v>3006</v>
      </c>
      <c r="V19" s="36" t="n">
        <f aca="false">K2</f>
        <v>45640</v>
      </c>
      <c r="W19" s="36" t="n">
        <f aca="false">L2</f>
        <v>45654</v>
      </c>
      <c r="X19" s="36" t="str">
        <f aca="false">M2</f>
        <v>доп 1</v>
      </c>
      <c r="Y19" s="37" t="n">
        <v>17</v>
      </c>
      <c r="Z19" s="38"/>
      <c r="AA19" s="39"/>
      <c r="AB19" s="39"/>
      <c r="AC19" s="40"/>
      <c r="AD19" s="41" t="n">
        <f aca="false">AD15</f>
        <v>45703</v>
      </c>
      <c r="AE19" s="28" t="n">
        <v>8</v>
      </c>
      <c r="AF19" s="41"/>
      <c r="AG19" s="41"/>
      <c r="AH19" s="37" t="n">
        <f aca="false">SUM(AE19,AG19)</f>
        <v>8</v>
      </c>
      <c r="AI19" s="42"/>
      <c r="AJ19" s="43" t="str">
        <f aca="false">IF(AND(S19&gt;=12,Y19&gt;=12,AH19&gt;=6),"да","нет")</f>
        <v>да</v>
      </c>
      <c r="AK19" s="2"/>
      <c r="AL19" s="28" t="n">
        <v>40</v>
      </c>
      <c r="AM19" s="23" t="n">
        <f aca="false">SUM(S19,Y19,AA19,AB19,AH19,AL19,AK19)</f>
        <v>83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 t="s">
        <v>243</v>
      </c>
      <c r="C20" s="27" t="s">
        <v>87</v>
      </c>
      <c r="D20" s="27" t="n">
        <v>466309</v>
      </c>
      <c r="E20" s="28" t="s">
        <v>45</v>
      </c>
      <c r="F20" s="28" t="s">
        <v>522</v>
      </c>
      <c r="G20" s="28" t="s">
        <v>518</v>
      </c>
      <c r="H20" s="28" t="s">
        <v>518</v>
      </c>
      <c r="I20" s="28" t="s">
        <v>518</v>
      </c>
      <c r="J20" s="28" t="s">
        <v>45</v>
      </c>
      <c r="K20" s="28" t="s">
        <v>519</v>
      </c>
      <c r="L20" s="28" t="s">
        <v>518</v>
      </c>
      <c r="M20" s="29"/>
      <c r="N20" s="29"/>
      <c r="O20" s="29"/>
      <c r="P20" s="30"/>
      <c r="Q20" s="46" t="n">
        <v>3018</v>
      </c>
      <c r="R20" s="36" t="n">
        <f aca="false">F2</f>
        <v>45570</v>
      </c>
      <c r="S20" s="37" t="n">
        <v>20</v>
      </c>
      <c r="T20" s="47"/>
      <c r="U20" s="2" t="n">
        <v>3001</v>
      </c>
      <c r="V20" s="36" t="n">
        <f aca="false">J2</f>
        <v>45626</v>
      </c>
      <c r="W20" s="36" t="n">
        <f aca="false">J2</f>
        <v>45626</v>
      </c>
      <c r="X20" s="36" t="n">
        <f aca="false">K2</f>
        <v>45640</v>
      </c>
      <c r="Y20" s="37" t="n">
        <v>18</v>
      </c>
      <c r="Z20" s="38"/>
      <c r="AA20" s="39"/>
      <c r="AB20" s="39"/>
      <c r="AC20" s="48"/>
      <c r="AD20" s="41" t="n">
        <f aca="false">AD19</f>
        <v>45703</v>
      </c>
      <c r="AE20" s="28" t="n">
        <v>10</v>
      </c>
      <c r="AF20" s="28"/>
      <c r="AG20" s="28"/>
      <c r="AH20" s="37" t="n">
        <f aca="false">SUM(AE20,AG20)</f>
        <v>10</v>
      </c>
      <c r="AI20" s="42"/>
      <c r="AJ20" s="43" t="str">
        <f aca="false">IF(AND(S20&gt;=12,Y20&gt;=12,AH20&gt;=6),"да","нет")</f>
        <v>да</v>
      </c>
      <c r="AK20" s="2"/>
      <c r="AL20" s="28" t="n">
        <v>40</v>
      </c>
      <c r="AM20" s="23" t="n">
        <f aca="false">SUM(S20,Y20,AA20,AB20,AH20,AL20,AK20)</f>
        <v>88</v>
      </c>
      <c r="AN20" s="29" t="str">
        <f aca="false">IF(AND(S20&gt;=12,Y20&gt;=12,AH20&gt;=6,AL20&gt;=24,AM20&gt;=60),"Зачет","Незачет")</f>
        <v>Зачет</v>
      </c>
    </row>
    <row r="21" customFormat="false" ht="15.75" hidden="false" customHeight="false" outlineLevel="0" collapsed="false">
      <c r="A21" s="25" t="n">
        <v>19</v>
      </c>
      <c r="B21" s="167" t="s">
        <v>261</v>
      </c>
      <c r="C21" s="27" t="s">
        <v>87</v>
      </c>
      <c r="D21" s="27" t="n">
        <v>466398</v>
      </c>
      <c r="E21" s="28" t="s">
        <v>45</v>
      </c>
      <c r="F21" s="28" t="s">
        <v>518</v>
      </c>
      <c r="G21" s="28" t="s">
        <v>518</v>
      </c>
      <c r="H21" s="28" t="s">
        <v>518</v>
      </c>
      <c r="I21" s="28" t="s">
        <v>45</v>
      </c>
      <c r="J21" s="28" t="s">
        <v>519</v>
      </c>
      <c r="K21" s="28" t="s">
        <v>519</v>
      </c>
      <c r="L21" s="28" t="s">
        <v>519</v>
      </c>
      <c r="M21" s="29" t="s">
        <v>519</v>
      </c>
      <c r="N21" s="29" t="s">
        <v>519</v>
      </c>
      <c r="O21" s="29"/>
      <c r="P21" s="30"/>
      <c r="Q21" s="46" t="n">
        <v>3019</v>
      </c>
      <c r="R21" s="36" t="n">
        <f aca="false">K2</f>
        <v>45640</v>
      </c>
      <c r="S21" s="37" t="n">
        <v>14</v>
      </c>
      <c r="T21" s="47"/>
      <c r="U21" s="2" t="n">
        <v>30031</v>
      </c>
      <c r="V21" s="36" t="n">
        <f aca="false">L2</f>
        <v>45654</v>
      </c>
      <c r="W21" s="36" t="str">
        <f aca="false">M2</f>
        <v>доп 1</v>
      </c>
      <c r="X21" s="36" t="str">
        <f aca="false">N2</f>
        <v>доп 2</v>
      </c>
      <c r="Y21" s="37" t="n">
        <v>20</v>
      </c>
      <c r="Z21" s="38"/>
      <c r="AA21" s="39"/>
      <c r="AB21" s="39"/>
      <c r="AC21" s="48"/>
      <c r="AD21" s="41" t="n">
        <f aca="false">AD20</f>
        <v>45703</v>
      </c>
      <c r="AE21" s="28" t="n">
        <v>5</v>
      </c>
      <c r="AF21" s="41" t="n">
        <f aca="false">AD21</f>
        <v>45703</v>
      </c>
      <c r="AG21" s="28" t="n">
        <v>1</v>
      </c>
      <c r="AH21" s="37" t="n">
        <f aca="false">SUM(AE21,AG21)</f>
        <v>6</v>
      </c>
      <c r="AI21" s="42"/>
      <c r="AJ21" s="43" t="str">
        <f aca="false">IF(AND(S21&gt;=12,Y21&gt;=12,AH21&gt;=6),"да","нет")</f>
        <v>да</v>
      </c>
      <c r="AK21" s="2"/>
      <c r="AL21" s="28" t="n">
        <v>40</v>
      </c>
      <c r="AM21" s="23" t="n">
        <f aca="false">SUM(S21,Y21,AA21,AB21,AH21,AL21,AK21)</f>
        <v>80</v>
      </c>
      <c r="AN21" s="29" t="str">
        <f aca="false">IF(AND(S21&gt;=12,Y21&gt;=12,AH21&gt;=6,AL21&gt;=24,AM21&gt;=60),"Зачет","Незачет")</f>
        <v>Зачет</v>
      </c>
    </row>
    <row r="22" customFormat="false" ht="15.75" hidden="false" customHeight="false" outlineLevel="0" collapsed="false">
      <c r="A22" s="25" t="n">
        <v>20</v>
      </c>
      <c r="B22" s="167" t="s">
        <v>264</v>
      </c>
      <c r="C22" s="27" t="s">
        <v>87</v>
      </c>
      <c r="D22" s="27" t="n">
        <v>412989</v>
      </c>
      <c r="E22" s="28" t="s">
        <v>45</v>
      </c>
      <c r="F22" s="28" t="s">
        <v>518</v>
      </c>
      <c r="G22" s="28" t="s">
        <v>518</v>
      </c>
      <c r="H22" s="28" t="s">
        <v>518</v>
      </c>
      <c r="I22" s="28" t="s">
        <v>518</v>
      </c>
      <c r="J22" s="28" t="s">
        <v>519</v>
      </c>
      <c r="K22" s="28" t="s">
        <v>519</v>
      </c>
      <c r="L22" s="28" t="s">
        <v>518</v>
      </c>
      <c r="M22" s="29" t="s">
        <v>519</v>
      </c>
      <c r="N22" s="29" t="s">
        <v>519</v>
      </c>
      <c r="O22" s="29" t="s">
        <v>519</v>
      </c>
      <c r="P22" s="30"/>
      <c r="Q22" s="46" t="n">
        <v>3020</v>
      </c>
      <c r="R22" s="36" t="n">
        <f aca="false">K2</f>
        <v>45640</v>
      </c>
      <c r="S22" s="37" t="n">
        <v>16.5</v>
      </c>
      <c r="T22" s="47"/>
      <c r="U22" s="2" t="n">
        <v>3333</v>
      </c>
      <c r="V22" s="36" t="str">
        <f aca="false">M2</f>
        <v>доп 1</v>
      </c>
      <c r="W22" s="36" t="str">
        <f aca="false">N2</f>
        <v>доп 2</v>
      </c>
      <c r="X22" s="36" t="str">
        <f aca="false">O2</f>
        <v>доп 3</v>
      </c>
      <c r="Y22" s="37" t="n">
        <v>19</v>
      </c>
      <c r="Z22" s="38"/>
      <c r="AA22" s="39"/>
      <c r="AB22" s="39"/>
      <c r="AC22" s="48"/>
      <c r="AD22" s="41" t="n">
        <f aca="false">AD21</f>
        <v>45703</v>
      </c>
      <c r="AE22" s="28" t="n">
        <v>9</v>
      </c>
      <c r="AF22" s="28"/>
      <c r="AG22" s="28"/>
      <c r="AH22" s="37" t="n">
        <f aca="false">SUM(AE22,AG22)</f>
        <v>9</v>
      </c>
      <c r="AI22" s="42"/>
      <c r="AJ22" s="43" t="str">
        <f aca="false">IF(AND(S22&gt;=12,Y22&gt;=12,AH22&gt;=6),"да","нет")</f>
        <v>да</v>
      </c>
      <c r="AK22" s="2"/>
      <c r="AL22" s="28" t="n">
        <v>40</v>
      </c>
      <c r="AM22" s="23" t="n">
        <f aca="false">SUM(S22,Y22,AA22,AB22,AH22,AL22,AK22)</f>
        <v>84.5</v>
      </c>
      <c r="AN22" s="29" t="str">
        <f aca="false">IF(AND(S22&gt;=12,Y22&gt;=12,AH22&gt;=6,AL22&gt;=24,AM22&gt;=60),"Зачет","Незачет")</f>
        <v>Зачет</v>
      </c>
    </row>
    <row r="23" customFormat="false" ht="15.75" hidden="false" customHeight="false" outlineLevel="0" collapsed="false">
      <c r="A23" s="25" t="n">
        <v>21</v>
      </c>
      <c r="B23" s="99" t="s">
        <v>340</v>
      </c>
      <c r="C23" s="27" t="s">
        <v>87</v>
      </c>
      <c r="D23" s="27" t="n">
        <v>463223</v>
      </c>
      <c r="E23" s="28" t="s">
        <v>45</v>
      </c>
      <c r="F23" s="28" t="s">
        <v>45</v>
      </c>
      <c r="G23" s="28" t="s">
        <v>519</v>
      </c>
      <c r="H23" s="28" t="s">
        <v>519</v>
      </c>
      <c r="I23" s="28" t="s">
        <v>519</v>
      </c>
      <c r="J23" s="28" t="s">
        <v>45</v>
      </c>
      <c r="K23" s="28" t="s">
        <v>518</v>
      </c>
      <c r="L23" s="28" t="s">
        <v>525</v>
      </c>
      <c r="M23" s="29"/>
      <c r="N23" s="29"/>
      <c r="O23" s="29"/>
      <c r="P23" s="30"/>
      <c r="Q23" s="46" t="n">
        <v>3021</v>
      </c>
      <c r="R23" s="36" t="n">
        <f aca="false">I2</f>
        <v>45612</v>
      </c>
      <c r="S23" s="37" t="n">
        <v>18.5</v>
      </c>
      <c r="T23" s="47"/>
      <c r="U23" s="2" t="n">
        <v>30025</v>
      </c>
      <c r="V23" s="36" t="n">
        <f aca="false">L2</f>
        <v>45654</v>
      </c>
      <c r="W23" s="36" t="n">
        <f aca="false">L2</f>
        <v>45654</v>
      </c>
      <c r="X23" s="36" t="n">
        <f aca="false">X30</f>
        <v>45668</v>
      </c>
      <c r="Y23" s="37" t="n">
        <v>15</v>
      </c>
      <c r="Z23" s="38"/>
      <c r="AA23" s="39"/>
      <c r="AB23" s="39"/>
      <c r="AC23" s="48"/>
      <c r="AD23" s="41" t="n">
        <f aca="false">AD25</f>
        <v>45703</v>
      </c>
      <c r="AE23" s="28" t="n">
        <v>9</v>
      </c>
      <c r="AF23" s="28"/>
      <c r="AG23" s="28"/>
      <c r="AH23" s="37" t="n">
        <f aca="false">SUM(AE23,AG23)</f>
        <v>9</v>
      </c>
      <c r="AI23" s="42"/>
      <c r="AJ23" s="43" t="str">
        <f aca="false">IF(AND(S23&gt;=12,Y23&gt;=12,AH23&gt;=6),"да","нет")</f>
        <v>да</v>
      </c>
      <c r="AK23" s="2"/>
      <c r="AL23" s="28" t="n">
        <v>40</v>
      </c>
      <c r="AM23" s="23" t="n">
        <f aca="false">SUM(S23,Y23,AA23,AB23,AH23,AL23,AK23)</f>
        <v>82.5</v>
      </c>
      <c r="AN23" s="29" t="str">
        <f aca="false">IF(AND(S23&gt;=12,Y23&gt;=12,AH23&gt;=6,AL23&gt;=24,AM23&gt;=60),"Зачет","Незачет")</f>
        <v>Зачет</v>
      </c>
    </row>
    <row r="24" customFormat="false" ht="15.75" hidden="false" customHeight="false" outlineLevel="0" collapsed="false">
      <c r="A24" s="25" t="n">
        <v>22</v>
      </c>
      <c r="B24" s="167" t="s">
        <v>365</v>
      </c>
      <c r="C24" s="27" t="s">
        <v>87</v>
      </c>
      <c r="D24" s="27" t="n">
        <v>472391</v>
      </c>
      <c r="E24" s="28" t="s">
        <v>45</v>
      </c>
      <c r="F24" s="28" t="s">
        <v>45</v>
      </c>
      <c r="G24" s="28" t="s">
        <v>45</v>
      </c>
      <c r="H24" s="28" t="s">
        <v>519</v>
      </c>
      <c r="I24" s="28" t="s">
        <v>519</v>
      </c>
      <c r="J24" s="28" t="s">
        <v>518</v>
      </c>
      <c r="K24" s="28" t="s">
        <v>518</v>
      </c>
      <c r="L24" s="28" t="s">
        <v>519</v>
      </c>
      <c r="M24" s="29" t="s">
        <v>522</v>
      </c>
      <c r="N24" s="29"/>
      <c r="O24" s="29"/>
      <c r="P24" s="30"/>
      <c r="Q24" s="46" t="n">
        <v>3022</v>
      </c>
      <c r="R24" s="36" t="n">
        <f aca="false">I2</f>
        <v>45612</v>
      </c>
      <c r="S24" s="37" t="n">
        <v>17</v>
      </c>
      <c r="T24" s="47"/>
      <c r="U24" s="2" t="n">
        <v>3007</v>
      </c>
      <c r="V24" s="36" t="n">
        <f aca="false">L2</f>
        <v>45654</v>
      </c>
      <c r="W24" s="36" t="str">
        <f aca="false">M2</f>
        <v>доп 1</v>
      </c>
      <c r="X24" s="36" t="str">
        <f aca="false">M2</f>
        <v>доп 1</v>
      </c>
      <c r="Y24" s="37" t="n">
        <v>18.5</v>
      </c>
      <c r="Z24" s="38"/>
      <c r="AA24" s="39"/>
      <c r="AB24" s="39"/>
      <c r="AC24" s="48"/>
      <c r="AD24" s="41" t="n">
        <v>45646</v>
      </c>
      <c r="AE24" s="28" t="n">
        <v>7</v>
      </c>
      <c r="AF24" s="28"/>
      <c r="AG24" s="28"/>
      <c r="AH24" s="37" t="n">
        <f aca="false">SUM(AE24,AG24)</f>
        <v>7</v>
      </c>
      <c r="AI24" s="42"/>
      <c r="AJ24" s="43" t="str">
        <f aca="false">IF(AND(S24&gt;=12,Y24&gt;=12,AH24&gt;=6),"да","нет")</f>
        <v>да</v>
      </c>
      <c r="AK24" s="2"/>
      <c r="AL24" s="28" t="n">
        <v>40</v>
      </c>
      <c r="AM24" s="23" t="n">
        <f aca="false">SUM(S24,Y24,AA24,AB24,AH24,AL24,AK24)</f>
        <v>82.5</v>
      </c>
      <c r="AN24" s="29" t="str">
        <f aca="false">IF(AND(S24&gt;=12,Y24&gt;=12,AH24&gt;=6,AL24&gt;=24,AM24&gt;=60),"Зачет","Незачет")</f>
        <v>Зачет</v>
      </c>
    </row>
    <row r="25" customFormat="false" ht="15.75" hidden="false" customHeight="false" outlineLevel="0" collapsed="false">
      <c r="A25" s="25" t="n">
        <v>23</v>
      </c>
      <c r="B25" s="99" t="s">
        <v>371</v>
      </c>
      <c r="C25" s="27" t="s">
        <v>87</v>
      </c>
      <c r="D25" s="27" t="n">
        <v>407793</v>
      </c>
      <c r="E25" s="28" t="s">
        <v>45</v>
      </c>
      <c r="F25" s="28" t="s">
        <v>519</v>
      </c>
      <c r="G25" s="28" t="s">
        <v>519</v>
      </c>
      <c r="H25" s="28" t="s">
        <v>519</v>
      </c>
      <c r="I25" s="28" t="s">
        <v>519</v>
      </c>
      <c r="J25" s="28" t="s">
        <v>518</v>
      </c>
      <c r="K25" s="28" t="s">
        <v>519</v>
      </c>
      <c r="L25" s="28" t="s">
        <v>519</v>
      </c>
      <c r="M25" s="29"/>
      <c r="N25" s="29"/>
      <c r="O25" s="29"/>
      <c r="P25" s="30"/>
      <c r="Q25" s="46" t="n">
        <v>3023</v>
      </c>
      <c r="R25" s="36" t="n">
        <f aca="false">I2</f>
        <v>45612</v>
      </c>
      <c r="S25" s="37" t="n">
        <v>20</v>
      </c>
      <c r="T25" s="47"/>
      <c r="U25" s="2" t="n">
        <v>30026</v>
      </c>
      <c r="V25" s="77" t="n">
        <v>45696</v>
      </c>
      <c r="W25" s="36" t="n">
        <f aca="false">V25</f>
        <v>45696</v>
      </c>
      <c r="X25" s="36" t="n">
        <f aca="false">W25</f>
        <v>45696</v>
      </c>
      <c r="Y25" s="37" t="n">
        <v>14</v>
      </c>
      <c r="Z25" s="38"/>
      <c r="AA25" s="39"/>
      <c r="AB25" s="39"/>
      <c r="AC25" s="48"/>
      <c r="AD25" s="41" t="n">
        <v>45703</v>
      </c>
      <c r="AE25" s="28" t="n">
        <v>5</v>
      </c>
      <c r="AF25" s="41" t="n">
        <f aca="false">AD25</f>
        <v>45703</v>
      </c>
      <c r="AG25" s="28" t="n">
        <v>1</v>
      </c>
      <c r="AH25" s="37" t="n">
        <f aca="false">SUM(AE25,AG25)</f>
        <v>6</v>
      </c>
      <c r="AI25" s="42"/>
      <c r="AJ25" s="43" t="str">
        <f aca="false">IF(AND(S25&gt;=12,Y25&gt;=12,AH25&gt;=6),"да","нет")</f>
        <v>да</v>
      </c>
      <c r="AK25" s="78"/>
      <c r="AL25" s="28" t="n">
        <v>24</v>
      </c>
      <c r="AM25" s="23" t="n">
        <f aca="false">SUM(S25,Y25,AA25,AB25,AH25,AL25,AK25)</f>
        <v>64</v>
      </c>
      <c r="AN25" s="29" t="str">
        <f aca="false">IF(AND(S25&gt;=12,Y25&gt;=12,AH25&gt;=6,AL25&gt;=24,AM25&gt;=60),"Зачет","Незачет")</f>
        <v>Зачет</v>
      </c>
    </row>
    <row r="26" customFormat="false" ht="15.75" hidden="false" customHeight="false" outlineLevel="0" collapsed="false">
      <c r="A26" s="25" t="n">
        <v>24</v>
      </c>
      <c r="B26" s="167" t="s">
        <v>373</v>
      </c>
      <c r="C26" s="27" t="s">
        <v>87</v>
      </c>
      <c r="D26" s="27" t="n">
        <v>463224</v>
      </c>
      <c r="E26" s="28" t="s">
        <v>45</v>
      </c>
      <c r="F26" s="28" t="s">
        <v>45</v>
      </c>
      <c r="G26" s="28" t="s">
        <v>518</v>
      </c>
      <c r="H26" s="28" t="s">
        <v>518</v>
      </c>
      <c r="I26" s="28" t="s">
        <v>519</v>
      </c>
      <c r="J26" s="28" t="s">
        <v>519</v>
      </c>
      <c r="K26" s="28" t="s">
        <v>518</v>
      </c>
      <c r="L26" s="28" t="s">
        <v>519</v>
      </c>
      <c r="M26" s="29" t="s">
        <v>519</v>
      </c>
      <c r="N26" s="29"/>
      <c r="O26" s="29" t="s">
        <v>519</v>
      </c>
      <c r="P26" s="30"/>
      <c r="Q26" s="46" t="n">
        <v>3024</v>
      </c>
      <c r="R26" s="36" t="n">
        <f aca="false">L2</f>
        <v>45654</v>
      </c>
      <c r="S26" s="37" t="n">
        <v>16</v>
      </c>
      <c r="T26" s="47"/>
      <c r="U26" s="2" t="n">
        <v>3077</v>
      </c>
      <c r="V26" s="36" t="str">
        <f aca="false">M2</f>
        <v>доп 1</v>
      </c>
      <c r="W26" s="36" t="str">
        <f aca="false">O2</f>
        <v>доп 3</v>
      </c>
      <c r="X26" s="36" t="str">
        <f aca="false">O2</f>
        <v>доп 3</v>
      </c>
      <c r="Y26" s="37" t="n">
        <v>17</v>
      </c>
      <c r="Z26" s="38"/>
      <c r="AA26" s="39"/>
      <c r="AB26" s="39"/>
      <c r="AC26" s="48"/>
      <c r="AD26" s="41" t="n">
        <v>45703</v>
      </c>
      <c r="AE26" s="28" t="n">
        <v>5</v>
      </c>
      <c r="AF26" s="41" t="n">
        <v>45703</v>
      </c>
      <c r="AG26" s="28" t="n">
        <v>1</v>
      </c>
      <c r="AH26" s="37" t="n">
        <f aca="false">SUM(AE26,AG26)</f>
        <v>6</v>
      </c>
      <c r="AI26" s="42"/>
      <c r="AJ26" s="43" t="str">
        <f aca="false">IF(AND(S26&gt;=12,Y26&gt;=12,AH26&gt;=6),"да","нет")</f>
        <v>да</v>
      </c>
      <c r="AK26" s="2"/>
      <c r="AL26" s="28" t="n">
        <v>0.2</v>
      </c>
      <c r="AM26" s="23" t="n">
        <f aca="false">SUM(S26,Y26,AA26,AB26,AH26,AL26,AK26)</f>
        <v>39.2</v>
      </c>
      <c r="AN26" s="29" t="str">
        <f aca="false">IF(AND(S26&gt;=12,Y26&gt;=12,AH26&gt;=6,AL26&gt;=24,AM26&gt;=60),"Зачет","Незачет")</f>
        <v>Незачет</v>
      </c>
    </row>
    <row r="27" customFormat="false" ht="15.75" hidden="false" customHeight="false" outlineLevel="0" collapsed="false">
      <c r="A27" s="25" t="n">
        <v>25</v>
      </c>
      <c r="B27" s="167" t="s">
        <v>393</v>
      </c>
      <c r="C27" s="27" t="s">
        <v>87</v>
      </c>
      <c r="D27" s="27" t="n">
        <v>408067</v>
      </c>
      <c r="E27" s="28" t="s">
        <v>45</v>
      </c>
      <c r="F27" s="28" t="s">
        <v>45</v>
      </c>
      <c r="G27" s="28" t="s">
        <v>519</v>
      </c>
      <c r="H27" s="28" t="s">
        <v>518</v>
      </c>
      <c r="I27" s="28" t="s">
        <v>45</v>
      </c>
      <c r="J27" s="28" t="s">
        <v>45</v>
      </c>
      <c r="K27" s="28" t="s">
        <v>518</v>
      </c>
      <c r="L27" s="28" t="s">
        <v>518</v>
      </c>
      <c r="M27" s="29"/>
      <c r="N27" s="29"/>
      <c r="O27" s="29"/>
      <c r="P27" s="30"/>
      <c r="Q27" s="46" t="n">
        <v>3025</v>
      </c>
      <c r="R27" s="36" t="n">
        <f aca="false">K2</f>
        <v>45640</v>
      </c>
      <c r="S27" s="37" t="n">
        <v>16.5</v>
      </c>
      <c r="T27" s="47"/>
      <c r="U27" s="2" t="n">
        <v>3029</v>
      </c>
      <c r="V27" s="28" t="s">
        <v>583</v>
      </c>
      <c r="W27" s="28" t="s">
        <v>583</v>
      </c>
      <c r="X27" s="28" t="s">
        <v>583</v>
      </c>
      <c r="Y27" s="37" t="n">
        <v>12</v>
      </c>
      <c r="Z27" s="38"/>
      <c r="AA27" s="39"/>
      <c r="AB27" s="39"/>
      <c r="AC27" s="48"/>
      <c r="AD27" s="41" t="n">
        <v>45703</v>
      </c>
      <c r="AE27" s="28" t="n">
        <v>5</v>
      </c>
      <c r="AF27" s="41" t="n">
        <v>45703</v>
      </c>
      <c r="AG27" s="28" t="n">
        <v>1</v>
      </c>
      <c r="AH27" s="37" t="n">
        <f aca="false">SUM(AE27,AG27)</f>
        <v>6</v>
      </c>
      <c r="AI27" s="42"/>
      <c r="AJ27" s="43" t="str">
        <f aca="false">IF(AND(S27&gt;=12,Y27&gt;=12,AH27&gt;=6),"да","нет")</f>
        <v>да</v>
      </c>
      <c r="AK27" s="2"/>
      <c r="AL27" s="28" t="n">
        <v>30</v>
      </c>
      <c r="AM27" s="23" t="n">
        <f aca="false">SUM(S27,Y27,AA27,AB27,AH27,AL27,AK27)</f>
        <v>64.5</v>
      </c>
      <c r="AN27" s="29" t="str">
        <f aca="false">IF(AND(S27&gt;=12,Y27&gt;=12,AH27&gt;=6,AL27&gt;=24,AM27&gt;=60),"Зачет","Незачет")</f>
        <v>Зачет</v>
      </c>
    </row>
    <row r="28" customFormat="false" ht="15.75" hidden="false" customHeight="false" outlineLevel="0" collapsed="false">
      <c r="A28" s="25" t="n">
        <v>26</v>
      </c>
      <c r="B28" s="167" t="s">
        <v>400</v>
      </c>
      <c r="C28" s="27" t="s">
        <v>87</v>
      </c>
      <c r="D28" s="27" t="n">
        <v>467392</v>
      </c>
      <c r="E28" s="28" t="s">
        <v>45</v>
      </c>
      <c r="F28" s="28" t="s">
        <v>525</v>
      </c>
      <c r="G28" s="28" t="s">
        <v>522</v>
      </c>
      <c r="H28" s="28" t="s">
        <v>518</v>
      </c>
      <c r="I28" s="28" t="s">
        <v>518</v>
      </c>
      <c r="J28" s="28" t="s">
        <v>518</v>
      </c>
      <c r="K28" s="28" t="s">
        <v>519</v>
      </c>
      <c r="L28" s="28" t="s">
        <v>519</v>
      </c>
      <c r="M28" s="29"/>
      <c r="N28" s="29"/>
      <c r="O28" s="29"/>
      <c r="P28" s="30"/>
      <c r="Q28" s="46" t="n">
        <v>3026</v>
      </c>
      <c r="R28" s="36" t="n">
        <f aca="false">G2</f>
        <v>45584</v>
      </c>
      <c r="S28" s="37" t="n">
        <v>19</v>
      </c>
      <c r="T28" s="47"/>
      <c r="U28" s="2" t="n">
        <v>3003</v>
      </c>
      <c r="V28" s="36" t="n">
        <f aca="false">K2</f>
        <v>45640</v>
      </c>
      <c r="W28" s="36" t="n">
        <f aca="false">K2</f>
        <v>45640</v>
      </c>
      <c r="X28" s="36" t="n">
        <f aca="false">L2</f>
        <v>45654</v>
      </c>
      <c r="Y28" s="37" t="n">
        <v>19</v>
      </c>
      <c r="Z28" s="38"/>
      <c r="AA28" s="39"/>
      <c r="AB28" s="39"/>
      <c r="AC28" s="48"/>
      <c r="AD28" s="41" t="n">
        <v>45646</v>
      </c>
      <c r="AE28" s="28" t="n">
        <v>6</v>
      </c>
      <c r="AF28" s="28"/>
      <c r="AG28" s="28"/>
      <c r="AH28" s="37" t="n">
        <f aca="false">SUM(AE28,AG28)</f>
        <v>6</v>
      </c>
      <c r="AI28" s="42"/>
      <c r="AJ28" s="43" t="str">
        <f aca="false">IF(AND(S28&gt;=12,Y28&gt;=12,AH28&gt;=6),"да","нет")</f>
        <v>да</v>
      </c>
      <c r="AK28" s="2"/>
      <c r="AL28" s="28" t="n">
        <v>40</v>
      </c>
      <c r="AM28" s="23" t="n">
        <f aca="false">SUM(S28,Y28,AA28,AB28,AH28,AL28,AK28)</f>
        <v>84</v>
      </c>
      <c r="AN28" s="29" t="str">
        <f aca="false">IF(AND(S28&gt;=12,Y28&gt;=12,AH28&gt;=6,AL28&gt;=24,AM28&gt;=60),"Зачет","Незачет")</f>
        <v>Зачет</v>
      </c>
    </row>
    <row r="29" customFormat="false" ht="15.75" hidden="false" customHeight="false" outlineLevel="0" collapsed="false">
      <c r="A29" s="25" t="n">
        <v>27</v>
      </c>
      <c r="B29" s="167" t="s">
        <v>424</v>
      </c>
      <c r="C29" s="27" t="s">
        <v>87</v>
      </c>
      <c r="D29" s="27" t="n">
        <v>467549</v>
      </c>
      <c r="E29" s="28" t="s">
        <v>45</v>
      </c>
      <c r="F29" s="28" t="s">
        <v>45</v>
      </c>
      <c r="G29" s="28" t="s">
        <v>519</v>
      </c>
      <c r="H29" s="28" t="s">
        <v>519</v>
      </c>
      <c r="I29" s="28" t="s">
        <v>519</v>
      </c>
      <c r="J29" s="28" t="s">
        <v>45</v>
      </c>
      <c r="K29" s="28" t="s">
        <v>519</v>
      </c>
      <c r="L29" s="28" t="s">
        <v>518</v>
      </c>
      <c r="M29" s="29"/>
      <c r="N29" s="29"/>
      <c r="O29" s="29"/>
      <c r="P29" s="30"/>
      <c r="Q29" s="46" t="n">
        <v>3027</v>
      </c>
      <c r="R29" s="36" t="n">
        <f aca="false">I2</f>
        <v>45612</v>
      </c>
      <c r="S29" s="37" t="n">
        <v>19</v>
      </c>
      <c r="T29" s="47"/>
      <c r="U29" s="2" t="n">
        <v>3008</v>
      </c>
      <c r="V29" s="36" t="n">
        <f aca="false">K2</f>
        <v>45640</v>
      </c>
      <c r="W29" s="36" t="n">
        <f aca="false">K2</f>
        <v>45640</v>
      </c>
      <c r="X29" s="36" t="n">
        <f aca="false">K2</f>
        <v>45640</v>
      </c>
      <c r="Y29" s="37" t="n">
        <v>20</v>
      </c>
      <c r="Z29" s="38"/>
      <c r="AA29" s="39"/>
      <c r="AB29" s="39"/>
      <c r="AC29" s="48"/>
      <c r="AD29" s="41" t="n">
        <v>45703</v>
      </c>
      <c r="AE29" s="28" t="n">
        <v>5</v>
      </c>
      <c r="AF29" s="41" t="n">
        <v>45703</v>
      </c>
      <c r="AG29" s="28" t="n">
        <v>1</v>
      </c>
      <c r="AH29" s="37" t="n">
        <f aca="false">SUM(AE29,AG29)</f>
        <v>6</v>
      </c>
      <c r="AI29" s="42"/>
      <c r="AJ29" s="43" t="str">
        <f aca="false">IF(AND(S29&gt;=12,Y29&gt;=12,AH29&gt;=6),"да","нет")</f>
        <v>да</v>
      </c>
      <c r="AK29" s="2"/>
      <c r="AL29" s="28" t="n">
        <v>40</v>
      </c>
      <c r="AM29" s="23" t="n">
        <f aca="false">SUM(S29,Y29,AA29,AB29,AH29,AL29,AK29)</f>
        <v>85</v>
      </c>
      <c r="AN29" s="29" t="str">
        <f aca="false">IF(AND(S29&gt;=12,Y29&gt;=12,AH29&gt;=6,AL29&gt;=24,AM29&gt;=60),"Зачет","Незачет")</f>
        <v>Зачет</v>
      </c>
    </row>
    <row r="30" customFormat="false" ht="15.75" hidden="false" customHeight="false" outlineLevel="0" collapsed="false">
      <c r="A30" s="25" t="n">
        <v>28</v>
      </c>
      <c r="B30" s="99" t="s">
        <v>431</v>
      </c>
      <c r="C30" s="27" t="s">
        <v>87</v>
      </c>
      <c r="D30" s="27" t="n">
        <v>463225</v>
      </c>
      <c r="E30" s="28" t="s">
        <v>45</v>
      </c>
      <c r="F30" s="28" t="s">
        <v>45</v>
      </c>
      <c r="G30" s="28" t="s">
        <v>519</v>
      </c>
      <c r="H30" s="28" t="s">
        <v>519</v>
      </c>
      <c r="I30" s="28" t="s">
        <v>519</v>
      </c>
      <c r="J30" s="28" t="s">
        <v>518</v>
      </c>
      <c r="K30" s="28" t="s">
        <v>519</v>
      </c>
      <c r="L30" s="28" t="s">
        <v>525</v>
      </c>
      <c r="M30" s="29"/>
      <c r="N30" s="29"/>
      <c r="O30" s="29"/>
      <c r="P30" s="30"/>
      <c r="Q30" s="46" t="n">
        <v>3028</v>
      </c>
      <c r="R30" s="36" t="n">
        <f aca="false">I2</f>
        <v>45612</v>
      </c>
      <c r="S30" s="37" t="n">
        <v>17.5</v>
      </c>
      <c r="T30" s="47"/>
      <c r="U30" s="2" t="n">
        <v>30027</v>
      </c>
      <c r="V30" s="36" t="n">
        <f aca="false">L2</f>
        <v>45654</v>
      </c>
      <c r="W30" s="36" t="n">
        <v>45668</v>
      </c>
      <c r="X30" s="36" t="n">
        <f aca="false">W30</f>
        <v>45668</v>
      </c>
      <c r="Y30" s="37" t="n">
        <v>15</v>
      </c>
      <c r="Z30" s="38"/>
      <c r="AA30" s="39"/>
      <c r="AB30" s="39"/>
      <c r="AC30" s="48"/>
      <c r="AD30" s="77" t="n">
        <v>45675</v>
      </c>
      <c r="AE30" s="28" t="n">
        <v>5</v>
      </c>
      <c r="AF30" s="77" t="n">
        <f aca="false">AD30</f>
        <v>45675</v>
      </c>
      <c r="AG30" s="28" t="n">
        <v>1</v>
      </c>
      <c r="AH30" s="37" t="n">
        <f aca="false">SUM(AE30,AG30)</f>
        <v>6</v>
      </c>
      <c r="AI30" s="42"/>
      <c r="AJ30" s="43" t="str">
        <f aca="false">IF(AND(S30&gt;=12,Y30&gt;=12,AH30&gt;=6),"да","нет")</f>
        <v>да</v>
      </c>
      <c r="AK30" s="2"/>
      <c r="AL30" s="28" t="n">
        <v>40</v>
      </c>
      <c r="AM30" s="23" t="n">
        <f aca="false">SUM(S30,Y30,AA30,AB30,AH30,AL30,AK30)</f>
        <v>78.5</v>
      </c>
      <c r="AN30" s="29" t="str">
        <f aca="false">IF(AND(S30&gt;=12,Y30&gt;=12,AH30&gt;=6,AL30&gt;=24,AM30&gt;=60),"Зачет","Незачет")</f>
        <v>Зачет</v>
      </c>
    </row>
    <row r="31" customFormat="false" ht="15.75" hidden="false" customHeight="false" outlineLevel="0" collapsed="false">
      <c r="A31" s="25" t="n">
        <v>29</v>
      </c>
      <c r="B31" s="167" t="s">
        <v>585</v>
      </c>
      <c r="C31" s="27" t="s">
        <v>87</v>
      </c>
      <c r="D31" s="27" t="n">
        <v>467610</v>
      </c>
      <c r="E31" s="28" t="s">
        <v>45</v>
      </c>
      <c r="F31" s="28" t="s">
        <v>45</v>
      </c>
      <c r="G31" s="28" t="s">
        <v>519</v>
      </c>
      <c r="H31" s="28" t="s">
        <v>519</v>
      </c>
      <c r="I31" s="28" t="s">
        <v>518</v>
      </c>
      <c r="J31" s="28" t="s">
        <v>45</v>
      </c>
      <c r="K31" s="28" t="s">
        <v>518</v>
      </c>
      <c r="L31" s="28" t="s">
        <v>519</v>
      </c>
      <c r="M31" s="29"/>
      <c r="N31" s="29"/>
      <c r="O31" s="29"/>
      <c r="P31" s="30"/>
      <c r="Q31" s="46" t="n">
        <v>3029</v>
      </c>
      <c r="R31" s="36" t="n">
        <f aca="false">H2</f>
        <v>45598</v>
      </c>
      <c r="S31" s="37" t="n">
        <v>18</v>
      </c>
      <c r="T31" s="47"/>
      <c r="U31" s="2" t="n">
        <v>3004</v>
      </c>
      <c r="V31" s="36" t="n">
        <f aca="false">K2</f>
        <v>45640</v>
      </c>
      <c r="W31" s="36" t="n">
        <f aca="false">L2</f>
        <v>45654</v>
      </c>
      <c r="X31" s="36" t="n">
        <f aca="false">L2</f>
        <v>45654</v>
      </c>
      <c r="Y31" s="37" t="n">
        <v>19</v>
      </c>
      <c r="Z31" s="38"/>
      <c r="AA31" s="39"/>
      <c r="AB31" s="39"/>
      <c r="AC31" s="48"/>
      <c r="AD31" s="41" t="n">
        <f aca="false">AD32</f>
        <v>45703</v>
      </c>
      <c r="AE31" s="28" t="n">
        <v>9</v>
      </c>
      <c r="AF31" s="28"/>
      <c r="AG31" s="28"/>
      <c r="AH31" s="37" t="n">
        <f aca="false">SUM(AE31,AG31)</f>
        <v>9</v>
      </c>
      <c r="AI31" s="42"/>
      <c r="AJ31" s="43" t="str">
        <f aca="false">IF(AND(S31&gt;=12,Y31&gt;=12,AH31&gt;=6),"да","нет")</f>
        <v>да</v>
      </c>
      <c r="AK31" s="2"/>
      <c r="AL31" s="28" t="n">
        <v>40</v>
      </c>
      <c r="AM31" s="23" t="n">
        <f aca="false">SUM(S31,Y31,AA31,AB31,AH31,AL31,AK31)</f>
        <v>86</v>
      </c>
      <c r="AN31" s="29" t="str">
        <f aca="false">IF(AND(S31&gt;=12,Y31&gt;=12,AH31&gt;=6,AL31&gt;=24,AM31&gt;=60),"Зачет","Незачет")</f>
        <v>Зачет</v>
      </c>
    </row>
    <row r="32" customFormat="false" ht="15.75" hidden="false" customHeight="false" outlineLevel="0" collapsed="false">
      <c r="A32" s="25" t="n">
        <v>30</v>
      </c>
      <c r="B32" s="99" t="s">
        <v>494</v>
      </c>
      <c r="C32" s="27" t="s">
        <v>87</v>
      </c>
      <c r="D32" s="27" t="n">
        <v>468098</v>
      </c>
      <c r="E32" s="28" t="s">
        <v>45</v>
      </c>
      <c r="F32" s="28" t="s">
        <v>525</v>
      </c>
      <c r="G32" s="28" t="s">
        <v>519</v>
      </c>
      <c r="H32" s="28" t="s">
        <v>45</v>
      </c>
      <c r="I32" s="28" t="s">
        <v>519</v>
      </c>
      <c r="J32" s="28" t="s">
        <v>519</v>
      </c>
      <c r="K32" s="28" t="s">
        <v>519</v>
      </c>
      <c r="L32" s="28" t="s">
        <v>518</v>
      </c>
      <c r="M32" s="29"/>
      <c r="N32" s="29"/>
      <c r="O32" s="29"/>
      <c r="P32" s="30"/>
      <c r="Q32" s="46" t="n">
        <v>3030</v>
      </c>
      <c r="R32" s="36"/>
      <c r="S32" s="37" t="n">
        <v>12</v>
      </c>
      <c r="T32" s="47"/>
      <c r="U32" s="2" t="n">
        <v>30032</v>
      </c>
      <c r="V32" s="36" t="n">
        <v>45696</v>
      </c>
      <c r="W32" s="36" t="n">
        <f aca="false">V32</f>
        <v>45696</v>
      </c>
      <c r="X32" s="36" t="n">
        <v>45703</v>
      </c>
      <c r="Y32" s="37" t="n">
        <v>12</v>
      </c>
      <c r="Z32" s="38"/>
      <c r="AA32" s="39"/>
      <c r="AB32" s="39"/>
      <c r="AC32" s="48"/>
      <c r="AD32" s="41" t="n">
        <v>45703</v>
      </c>
      <c r="AE32" s="28" t="n">
        <v>5</v>
      </c>
      <c r="AF32" s="41" t="n">
        <f aca="false">AD32</f>
        <v>45703</v>
      </c>
      <c r="AG32" s="28" t="n">
        <v>1</v>
      </c>
      <c r="AH32" s="37" t="n">
        <f aca="false">SUM(AE32,AG32)</f>
        <v>6</v>
      </c>
      <c r="AI32" s="42"/>
      <c r="AJ32" s="43" t="str">
        <f aca="false">IF(AND(S32&gt;=12,Y32&gt;=12,AH32&gt;=6),"да","нет")</f>
        <v>да</v>
      </c>
      <c r="AK32" s="2"/>
      <c r="AL32" s="28" t="n">
        <v>30</v>
      </c>
      <c r="AM32" s="23" t="n">
        <f aca="false">SUM(S32,Y32,AA32,AB32,AH32,AL32,AK32)</f>
        <v>60</v>
      </c>
      <c r="AN32" s="29" t="str">
        <f aca="false">IF(AND(S32&gt;=12,Y32&gt;=12,AH32&gt;=6,AL32&gt;=24,AM32&gt;=60),"Зачет","Незачет")</f>
        <v>Зачет</v>
      </c>
    </row>
    <row r="37" customFormat="false" ht="1.5" hidden="false" customHeight="true" outlineLevel="0" collapsed="false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53"/>
      <c r="AJ37" s="47"/>
      <c r="AK37" s="47"/>
      <c r="AL37" s="47"/>
      <c r="AM37" s="47"/>
      <c r="AN37" s="47"/>
    </row>
    <row r="38" customFormat="false" ht="15.75" hidden="false" customHeight="false" outlineLevel="0" collapsed="false">
      <c r="A38" s="2"/>
      <c r="B38" s="2" t="s">
        <v>26</v>
      </c>
      <c r="C38" s="2"/>
      <c r="D38" s="2"/>
      <c r="E38" s="37" t="n">
        <f aca="false">COUNTIF(E$4:E$32, "~**")</f>
        <v>0</v>
      </c>
      <c r="F38" s="37" t="n">
        <f aca="false">COUNTIF(F$4:F$32, "~**")</f>
        <v>6</v>
      </c>
      <c r="G38" s="37" t="n">
        <f aca="false">COUNTIF(G$4:G$32, "~**")</f>
        <v>10</v>
      </c>
      <c r="H38" s="37" t="n">
        <f aca="false">COUNTIF(H$4:H$32, "~**")</f>
        <v>11</v>
      </c>
      <c r="I38" s="37" t="n">
        <f aca="false">COUNTIF(I$4:I$32, "~**")</f>
        <v>16</v>
      </c>
      <c r="J38" s="37" t="n">
        <f aca="false">COUNTIF(J$4:J$32, "~**")</f>
        <v>8</v>
      </c>
      <c r="K38" s="37" t="n">
        <f aca="false">COUNTIF(K$4:K$32, "~**")</f>
        <v>15</v>
      </c>
      <c r="L38" s="37" t="n">
        <f aca="false">COUNTIF(L$4:L$32, "~**")</f>
        <v>17</v>
      </c>
      <c r="M38" s="54" t="n">
        <f aca="false">COUNTIF(M$4:M$32, "~**")</f>
        <v>9</v>
      </c>
      <c r="N38" s="54" t="n">
        <f aca="false">COUNTIF(N$4:N$32, "~**")</f>
        <v>4</v>
      </c>
      <c r="O38" s="54" t="n">
        <f aca="false">COUNTIF(O$4:O$32, "~**")</f>
        <v>5</v>
      </c>
      <c r="P38" s="55"/>
      <c r="Q38" s="2" t="s">
        <v>27</v>
      </c>
      <c r="R38" s="2"/>
      <c r="S38" s="37" t="n">
        <f aca="false">S39*0.6</f>
        <v>12</v>
      </c>
      <c r="T38" s="55"/>
      <c r="U38" s="37"/>
      <c r="V38" s="37"/>
      <c r="W38" s="37"/>
      <c r="X38" s="37"/>
      <c r="Y38" s="37" t="n">
        <f aca="false">Y39*0.6</f>
        <v>12</v>
      </c>
      <c r="Z38" s="56"/>
      <c r="AA38" s="37" t="n">
        <v>0</v>
      </c>
      <c r="AB38" s="37" t="n">
        <v>0</v>
      </c>
      <c r="AC38" s="57"/>
      <c r="AE38" s="2" t="n">
        <v>3</v>
      </c>
      <c r="AG38" s="2" t="n">
        <v>3</v>
      </c>
      <c r="AH38" s="37" t="n">
        <v>6</v>
      </c>
      <c r="AI38" s="58"/>
      <c r="AJ38" s="59"/>
      <c r="AK38" s="37" t="n">
        <v>0</v>
      </c>
      <c r="AL38" s="37" t="n">
        <v>24</v>
      </c>
      <c r="AM38" s="19" t="n">
        <f aca="false">S38+Y38+AA38+AB38+AH38+AL38</f>
        <v>54</v>
      </c>
      <c r="AN38" s="60"/>
    </row>
    <row r="39" customFormat="false" ht="15.75" hidden="false" customHeight="false" outlineLevel="0" collapsed="false">
      <c r="A39" s="2"/>
      <c r="B39" s="2" t="s">
        <v>28</v>
      </c>
      <c r="C39" s="2"/>
      <c r="D39" s="2"/>
      <c r="E39" s="37" t="n">
        <f aca="false">COUNTIF(E$4:E$32, "~**")+COUNTIF(E$4:E$32, "Y")</f>
        <v>29</v>
      </c>
      <c r="F39" s="37" t="n">
        <f aca="false">COUNTIF(F$4:F$32, "~**")+COUNTIF(F$4:F$32, "Y")</f>
        <v>19</v>
      </c>
      <c r="G39" s="37" t="n">
        <f aca="false">COUNTIF(G$4:G$32, "~**")+COUNTIF(G$4:G$32, "Y")</f>
        <v>16</v>
      </c>
      <c r="H39" s="37" t="n">
        <f aca="false">COUNTIF(H$4:H$32, "~**")+COUNTIF(H$4:H$32, "Y")</f>
        <v>16</v>
      </c>
      <c r="I39" s="37" t="n">
        <f aca="false">COUNTIF(I$4:I$32, "~**")+COUNTIF(I$4:I$32, "Y")</f>
        <v>20</v>
      </c>
      <c r="J39" s="37" t="n">
        <f aca="false">COUNTIF(J$4:J$32, "~**")+COUNTIF(J$4:J$32, "Y")</f>
        <v>15</v>
      </c>
      <c r="K39" s="37" t="n">
        <f aca="false">COUNTIF(K$4:K$32, "~**")+COUNTIF(K$4:K$32, "Y")</f>
        <v>17</v>
      </c>
      <c r="L39" s="37" t="n">
        <f aca="false">COUNTIF(L$4:L$32, "~**")+COUNTIF(L$4:L$32, "Y")</f>
        <v>17</v>
      </c>
      <c r="M39" s="54" t="n">
        <f aca="false">COUNTIF(M$4:M$32, "~**")+COUNTIF(M$4:M$32, "Y")</f>
        <v>9</v>
      </c>
      <c r="N39" s="54" t="n">
        <f aca="false">COUNTIF(N$4:N$32, "~**")+COUNTIF(N$4:N$32, "Y")</f>
        <v>4</v>
      </c>
      <c r="O39" s="54" t="n">
        <f aca="false">COUNTIF(O$4:O$32, "~**")+COUNTIF(O$4:O$32, "Y")</f>
        <v>5</v>
      </c>
      <c r="P39" s="55"/>
      <c r="Q39" s="2" t="s">
        <v>29</v>
      </c>
      <c r="R39" s="2"/>
      <c r="S39" s="37" t="n">
        <v>20</v>
      </c>
      <c r="T39" s="55"/>
      <c r="U39" s="37"/>
      <c r="V39" s="37"/>
      <c r="W39" s="37"/>
      <c r="X39" s="37"/>
      <c r="Y39" s="37" t="n">
        <v>20</v>
      </c>
      <c r="Z39" s="56"/>
      <c r="AA39" s="37" t="n">
        <v>5</v>
      </c>
      <c r="AB39" s="37" t="n">
        <v>5</v>
      </c>
      <c r="AC39" s="57"/>
      <c r="AE39" s="2" t="n">
        <v>5</v>
      </c>
      <c r="AG39" s="2" t="n">
        <v>5</v>
      </c>
      <c r="AH39" s="37" t="n">
        <v>10</v>
      </c>
      <c r="AI39" s="58"/>
      <c r="AJ39" s="59"/>
      <c r="AK39" s="37" t="n">
        <v>3</v>
      </c>
      <c r="AL39" s="37" t="n">
        <v>40</v>
      </c>
      <c r="AM39" s="19" t="n">
        <f aca="false">SUM(S39,Y39,AA39:AB39,AH39,AK39:AL39,)</f>
        <v>103</v>
      </c>
      <c r="AN39" s="60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47"/>
      <c r="Q40" s="2"/>
      <c r="R40" s="2"/>
      <c r="S40" s="61"/>
      <c r="T40" s="62"/>
      <c r="U40" s="61"/>
      <c r="V40" s="61"/>
      <c r="W40" s="61"/>
      <c r="X40" s="61"/>
      <c r="Y40" s="61"/>
      <c r="Z40" s="63"/>
      <c r="AA40" s="2"/>
      <c r="AB40" s="2"/>
      <c r="AC40" s="57"/>
      <c r="AH40" s="61"/>
      <c r="AI40" s="64"/>
      <c r="AJ40" s="65"/>
      <c r="AK40" s="2"/>
      <c r="AL40" s="2"/>
      <c r="AM40" s="66"/>
      <c r="AN40" s="2"/>
    </row>
    <row r="41" customFormat="false" ht="15.75" hidden="false" customHeight="false" outlineLevel="0" collapsed="false">
      <c r="A41" s="2"/>
      <c r="B41" s="2"/>
      <c r="C41" s="2"/>
      <c r="D41" s="2"/>
      <c r="E41" s="2" t="s">
        <v>30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47"/>
      <c r="Q41" s="2" t="s">
        <v>31</v>
      </c>
      <c r="R41" s="2"/>
      <c r="S41" s="61" t="n">
        <f aca="false">IFERROR(COUNTA(S$4:S32)/COUNTA($B$4:$B$32), 0)</f>
        <v>0.9655172414</v>
      </c>
      <c r="T41" s="62"/>
      <c r="U41" s="61"/>
      <c r="V41" s="61"/>
      <c r="W41" s="61"/>
      <c r="X41" s="61"/>
      <c r="Y41" s="61" t="n">
        <f aca="false">IFERROR(COUNTA(Y$4:Y32)/COUNTA($B$4:$B$32), 0)</f>
        <v>0.8965517241</v>
      </c>
      <c r="Z41" s="63"/>
      <c r="AA41" s="2"/>
      <c r="AB41" s="2"/>
      <c r="AC41" s="57"/>
      <c r="AE41" s="61" t="n">
        <f aca="false">IFERROR(COUNTIF(AE$4:AE32, "&gt;1")/COUNTA($B$4:$B$22), 0)</f>
        <v>1.315789474</v>
      </c>
      <c r="AG41" s="61" t="n">
        <f aca="false">IFERROR(COUNTIF(AG$4:AG32, "&gt;0")/COUNTA($B$4:$B$22), 0)</f>
        <v>0.7368421053</v>
      </c>
      <c r="AH41" s="61" t="n">
        <f aca="false">IFERROR(COUNTIF(AH$4:AH32, "&gt;1")/COUNTA($B$4:$B$22), 0)</f>
        <v>1.315789474</v>
      </c>
      <c r="AI41" s="64"/>
      <c r="AJ41" s="65"/>
      <c r="AK41" s="2"/>
      <c r="AL41" s="61" t="n">
        <f aca="false">IFERROR(COUNTIF(AL$4:AL32, "&gt;24")/COUNTA($B$4:$B$22), 0)</f>
        <v>1.210526316</v>
      </c>
      <c r="AM41" s="66"/>
      <c r="AN41" s="2"/>
    </row>
    <row r="42" customFormat="false" ht="15.75" hidden="false" customHeight="false" outlineLevel="0" collapsed="false">
      <c r="A42" s="2"/>
      <c r="B42" s="2"/>
      <c r="C42" s="2"/>
      <c r="D42" s="2"/>
      <c r="E42" s="2" t="s">
        <v>32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47"/>
      <c r="Q42" s="2"/>
      <c r="R42" s="2"/>
      <c r="S42" s="2"/>
      <c r="T42" s="47"/>
      <c r="U42" s="2"/>
      <c r="V42" s="2"/>
      <c r="W42" s="2"/>
      <c r="X42" s="2"/>
      <c r="Y42" s="2"/>
      <c r="Z42" s="63"/>
      <c r="AA42" s="2"/>
      <c r="AB42" s="2"/>
      <c r="AC42" s="63"/>
      <c r="AD42" s="2"/>
      <c r="AE42" s="2"/>
      <c r="AF42" s="2"/>
      <c r="AG42" s="2"/>
      <c r="AH42" s="2"/>
      <c r="AI42" s="64"/>
      <c r="AJ42" s="65"/>
      <c r="AK42" s="2"/>
      <c r="AL42" s="2"/>
      <c r="AM42" s="66"/>
      <c r="AN42" s="2"/>
    </row>
    <row r="43" customFormat="false" ht="15.75" hidden="false" customHeight="false" outlineLevel="0" collapsed="false">
      <c r="A43" s="67"/>
      <c r="B43" s="67"/>
      <c r="C43" s="2"/>
      <c r="D43" s="2"/>
      <c r="E43" s="2" t="s">
        <v>33</v>
      </c>
      <c r="F43" s="2"/>
      <c r="G43" s="2"/>
      <c r="H43" s="2"/>
      <c r="I43" s="2"/>
      <c r="J43" s="2"/>
      <c r="K43" s="2"/>
      <c r="L43" s="2" t="s">
        <v>34</v>
      </c>
      <c r="M43" s="2"/>
      <c r="N43" s="2"/>
      <c r="O43" s="2"/>
      <c r="P43" s="47"/>
      <c r="Q43" s="2"/>
      <c r="R43" s="2"/>
      <c r="S43" s="2"/>
      <c r="T43" s="47"/>
      <c r="U43" s="2"/>
      <c r="V43" s="2"/>
      <c r="W43" s="2"/>
      <c r="X43" s="2"/>
      <c r="Y43" s="2"/>
      <c r="Z43" s="63"/>
      <c r="AA43" s="2"/>
      <c r="AB43" s="2"/>
      <c r="AC43" s="63"/>
      <c r="AD43" s="2" t="s">
        <v>538</v>
      </c>
      <c r="AE43" s="2" t="n">
        <f aca="false">COUNTIF(AE$4:AE32, "&gt;=6")</f>
        <v>11</v>
      </c>
      <c r="AF43" s="2"/>
      <c r="AG43" s="2"/>
      <c r="AH43" s="2"/>
      <c r="AI43" s="64"/>
      <c r="AJ43" s="65"/>
      <c r="AK43" s="2"/>
      <c r="AL43" s="2" t="n">
        <f aca="false">COUNTIF(AL$4:AL32, "&gt;=6")</f>
        <v>24</v>
      </c>
      <c r="AM43" s="66"/>
      <c r="AN43" s="2"/>
    </row>
    <row r="44" customFormat="false" ht="15.75" hidden="false" customHeight="false" outlineLevel="0" collapsed="false">
      <c r="E44" s="2" t="s">
        <v>35</v>
      </c>
      <c r="P44" s="68"/>
      <c r="T44" s="68"/>
      <c r="Z44" s="57"/>
      <c r="AC44" s="57"/>
      <c r="AI44" s="69"/>
      <c r="AJ44" s="70"/>
      <c r="AM44" s="71"/>
    </row>
    <row r="45" customFormat="false" ht="15.75" hidden="false" customHeight="false" outlineLevel="0" collapsed="false">
      <c r="E45" s="2" t="s">
        <v>36</v>
      </c>
      <c r="P45" s="68"/>
      <c r="T45" s="68"/>
      <c r="Z45" s="57"/>
      <c r="AC45" s="57"/>
      <c r="AI45" s="69"/>
      <c r="AJ45" s="70"/>
      <c r="AM45" s="71"/>
    </row>
    <row r="46" customFormat="false" ht="15.75" hidden="false" customHeight="false" outlineLevel="0" collapsed="false">
      <c r="P46" s="68"/>
      <c r="T46" s="68"/>
      <c r="Z46" s="57"/>
      <c r="AC46" s="57"/>
      <c r="AI46" s="69"/>
      <c r="AJ46" s="70"/>
      <c r="AM46" s="71"/>
    </row>
    <row r="47" customFormat="false" ht="15.75" hidden="false" customHeight="false" outlineLevel="0" collapsed="false">
      <c r="P47" s="68"/>
      <c r="T47" s="68"/>
      <c r="Z47" s="57"/>
      <c r="AC47" s="57"/>
      <c r="AI47" s="69"/>
      <c r="AJ47" s="70"/>
      <c r="AM47" s="71"/>
    </row>
    <row r="48" customFormat="false" ht="15.75" hidden="false" customHeight="false" outlineLevel="0" collapsed="false">
      <c r="P48" s="68"/>
      <c r="T48" s="68"/>
      <c r="Z48" s="57"/>
      <c r="AC48" s="57"/>
      <c r="AI48" s="69"/>
      <c r="AJ48" s="70"/>
      <c r="AM48" s="71"/>
    </row>
    <row r="49" customFormat="false" ht="15.75" hidden="false" customHeight="false" outlineLevel="0" collapsed="false">
      <c r="P49" s="68"/>
      <c r="T49" s="68"/>
      <c r="Z49" s="57"/>
      <c r="AC49" s="57"/>
      <c r="AI49" s="69"/>
      <c r="AJ49" s="70"/>
      <c r="AM49" s="71"/>
    </row>
    <row r="50" customFormat="false" ht="15.75" hidden="false" customHeight="false" outlineLevel="0" collapsed="false">
      <c r="P50" s="68"/>
      <c r="T50" s="68"/>
      <c r="Z50" s="57"/>
      <c r="AC50" s="57"/>
      <c r="AI50" s="69"/>
      <c r="AJ50" s="70"/>
      <c r="AM50" s="71"/>
    </row>
    <row r="51" customFormat="false" ht="15.75" hidden="false" customHeight="false" outlineLevel="0" collapsed="false">
      <c r="P51" s="68"/>
      <c r="T51" s="68"/>
      <c r="Z51" s="57"/>
      <c r="AC51" s="57"/>
      <c r="AI51" s="69"/>
      <c r="AJ51" s="70"/>
      <c r="AM51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36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36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36">
    <cfRule type="cellIs" priority="5" operator="equal" aboveAverage="0" equalAverage="0" bottom="0" percent="0" rank="0" text="" dxfId="3">
      <formula>"N"</formula>
    </cfRule>
  </conditionalFormatting>
  <conditionalFormatting sqref="S3:S36 Y3:AB36 AH3:AH36 AK3:AL36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36">
    <cfRule type="expression" priority="7" aboveAverage="0" equalAverage="0" bottom="0" percent="0" rank="0" text="" dxfId="5">
      <formula>R3&gt;45230</formula>
    </cfRule>
  </conditionalFormatting>
  <conditionalFormatting sqref="V3:X36 AC3:AG36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F2" activeCellId="0" sqref="F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586</v>
      </c>
      <c r="C1" s="3" t="s">
        <v>127</v>
      </c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45197</v>
      </c>
      <c r="F2" s="15" t="n">
        <f aca="false">E2+14</f>
        <v>45211</v>
      </c>
      <c r="G2" s="15" t="n">
        <f aca="false">F2+14</f>
        <v>45225</v>
      </c>
      <c r="H2" s="15" t="n">
        <f aca="false">G2+14</f>
        <v>45239</v>
      </c>
      <c r="I2" s="15" t="n">
        <f aca="false">H2+14</f>
        <v>45253</v>
      </c>
      <c r="J2" s="15" t="n">
        <f aca="false">I2+14</f>
        <v>45267</v>
      </c>
      <c r="K2" s="15" t="n">
        <f aca="false">J2+14</f>
        <v>45281</v>
      </c>
      <c r="L2" s="15" t="n">
        <f aca="false">K2+14</f>
        <v>45295</v>
      </c>
      <c r="M2" s="165" t="n">
        <v>11.01</v>
      </c>
      <c r="N2" s="101" t="n">
        <v>18.01</v>
      </c>
      <c r="O2" s="101" t="n">
        <v>25.01</v>
      </c>
      <c r="P2" s="18"/>
      <c r="Q2" s="19" t="s">
        <v>17</v>
      </c>
      <c r="R2" s="19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168" t="s">
        <v>126</v>
      </c>
      <c r="C3" s="27" t="s">
        <v>127</v>
      </c>
      <c r="D3" s="27" t="n">
        <v>474254</v>
      </c>
      <c r="E3" s="28" t="s">
        <v>45</v>
      </c>
      <c r="F3" s="28" t="s">
        <v>518</v>
      </c>
      <c r="G3" s="28" t="s">
        <v>45</v>
      </c>
      <c r="H3" s="28" t="s">
        <v>518</v>
      </c>
      <c r="I3" s="28" t="s">
        <v>518</v>
      </c>
      <c r="J3" s="28" t="s">
        <v>45</v>
      </c>
      <c r="K3" s="28" t="s">
        <v>518</v>
      </c>
      <c r="L3" s="28" t="s">
        <v>518</v>
      </c>
      <c r="M3" s="29" t="s">
        <v>518</v>
      </c>
      <c r="N3" s="29"/>
      <c r="O3" s="29"/>
      <c r="P3" s="30"/>
      <c r="Q3" s="31" t="n">
        <v>3143</v>
      </c>
      <c r="R3" s="32"/>
      <c r="S3" s="33"/>
      <c r="T3" s="34"/>
      <c r="U3" s="35"/>
      <c r="V3" s="36"/>
      <c r="W3" s="36"/>
      <c r="X3" s="36"/>
      <c r="Y3" s="37"/>
      <c r="Z3" s="38"/>
      <c r="AA3" s="39"/>
      <c r="AB3" s="39"/>
      <c r="AC3" s="40"/>
      <c r="AD3" s="41"/>
      <c r="AE3" s="41"/>
      <c r="AF3" s="41"/>
      <c r="AG3" s="41"/>
      <c r="AH3" s="37" t="n">
        <f aca="false">SUM(AE3,AG3)</f>
        <v>0</v>
      </c>
      <c r="AI3" s="42"/>
      <c r="AJ3" s="43" t="str">
        <f aca="false">IF(AND(S3&gt;=12,Y3&gt;=12,AH3&gt;=6),"да","нет")</f>
        <v>нет</v>
      </c>
      <c r="AK3" s="2"/>
      <c r="AL3" s="2" t="n">
        <v>0</v>
      </c>
      <c r="AM3" s="23" t="n">
        <f aca="false">SUM(S3,Y3,AA3,AB3,AH3,AL3,AK3)</f>
        <v>0</v>
      </c>
      <c r="AN3" s="29" t="str">
        <f aca="false">IF(AND(S3&gt;=12,Y3&gt;=12,AH3&gt;=6,AL3&gt;=24,AM3&gt;=60),"Зачет","Незачет")</f>
        <v>Незачет</v>
      </c>
    </row>
    <row r="4" customFormat="false" ht="15.75" hidden="false" customHeight="false" outlineLevel="0" collapsed="false">
      <c r="A4" s="25" t="n">
        <v>2</v>
      </c>
      <c r="B4" s="169" t="s">
        <v>132</v>
      </c>
      <c r="C4" s="27" t="s">
        <v>127</v>
      </c>
      <c r="D4" s="27" t="n">
        <v>471783</v>
      </c>
      <c r="E4" s="28" t="s">
        <v>45</v>
      </c>
      <c r="F4" s="28" t="s">
        <v>518</v>
      </c>
      <c r="G4" s="28" t="s">
        <v>518</v>
      </c>
      <c r="H4" s="28" t="s">
        <v>45</v>
      </c>
      <c r="I4" s="28" t="s">
        <v>518</v>
      </c>
      <c r="J4" s="28" t="s">
        <v>518</v>
      </c>
      <c r="K4" s="28" t="s">
        <v>518</v>
      </c>
      <c r="L4" s="28" t="s">
        <v>519</v>
      </c>
      <c r="M4" s="29"/>
      <c r="N4" s="29"/>
      <c r="O4" s="29"/>
      <c r="P4" s="30"/>
      <c r="Q4" s="31" t="n">
        <v>3137</v>
      </c>
      <c r="R4" s="32" t="n">
        <f aca="false">L2</f>
        <v>45295</v>
      </c>
      <c r="S4" s="33" t="n">
        <v>12</v>
      </c>
      <c r="T4" s="34"/>
      <c r="U4" s="35" t="n">
        <v>32001</v>
      </c>
      <c r="V4" s="36"/>
      <c r="W4" s="36"/>
      <c r="X4" s="36"/>
      <c r="Y4" s="37"/>
      <c r="Z4" s="38"/>
      <c r="AA4" s="39"/>
      <c r="AB4" s="39"/>
      <c r="AC4" s="40"/>
      <c r="AD4" s="41" t="n">
        <v>45696</v>
      </c>
      <c r="AE4" s="28" t="n">
        <v>5</v>
      </c>
      <c r="AF4" s="41" t="n">
        <v>45696</v>
      </c>
      <c r="AG4" s="28" t="n">
        <v>1</v>
      </c>
      <c r="AH4" s="37" t="n">
        <f aca="false">SUM(AE4,AG4)</f>
        <v>6</v>
      </c>
      <c r="AI4" s="42"/>
      <c r="AJ4" s="43" t="str">
        <f aca="false">IF(AND(S4&gt;=12,Y4&gt;=12,AH4&gt;=6),"да","нет")</f>
        <v>нет</v>
      </c>
      <c r="AK4" s="2"/>
      <c r="AL4" s="2" t="n">
        <v>0</v>
      </c>
      <c r="AM4" s="23" t="n">
        <f aca="false">SUM(S4,Y4,AA4,AB4,AH4,AL4,AK4)</f>
        <v>18</v>
      </c>
      <c r="AN4" s="29" t="str">
        <f aca="false">IF(AND(S4&gt;=12,Y4&gt;=12,AH4&gt;=6,AL4&gt;=24,AM4&gt;=60),"Зачет","Незачет")</f>
        <v>Незачет</v>
      </c>
    </row>
    <row r="5" customFormat="false" ht="15.75" hidden="false" customHeight="false" outlineLevel="0" collapsed="false">
      <c r="A5" s="25" t="n">
        <v>3</v>
      </c>
      <c r="B5" s="168" t="s">
        <v>135</v>
      </c>
      <c r="C5" s="27" t="s">
        <v>127</v>
      </c>
      <c r="D5" s="27" t="n">
        <v>465346</v>
      </c>
      <c r="E5" s="28" t="s">
        <v>45</v>
      </c>
      <c r="F5" s="28" t="s">
        <v>518</v>
      </c>
      <c r="G5" s="28" t="s">
        <v>45</v>
      </c>
      <c r="H5" s="28" t="s">
        <v>519</v>
      </c>
      <c r="I5" s="28" t="s">
        <v>519</v>
      </c>
      <c r="J5" s="28" t="s">
        <v>45</v>
      </c>
      <c r="K5" s="28" t="s">
        <v>519</v>
      </c>
      <c r="L5" s="28" t="s">
        <v>518</v>
      </c>
      <c r="M5" s="29" t="s">
        <v>45</v>
      </c>
      <c r="N5" s="29"/>
      <c r="O5" s="29"/>
      <c r="P5" s="30"/>
      <c r="Q5" s="31" t="n">
        <v>3141</v>
      </c>
      <c r="R5" s="104" t="n">
        <v>45647</v>
      </c>
      <c r="S5" s="33" t="n">
        <v>15</v>
      </c>
      <c r="T5" s="34"/>
      <c r="U5" s="35" t="n">
        <v>31294</v>
      </c>
      <c r="V5" s="28" t="n">
        <v>11.01</v>
      </c>
      <c r="W5" s="28" t="n">
        <v>11.01</v>
      </c>
      <c r="X5" s="28" t="n">
        <v>11.01</v>
      </c>
      <c r="Y5" s="37" t="n">
        <v>16</v>
      </c>
      <c r="Z5" s="38"/>
      <c r="AA5" s="39"/>
      <c r="AB5" s="39"/>
      <c r="AC5" s="44"/>
      <c r="AD5" s="77" t="n">
        <v>45696</v>
      </c>
      <c r="AE5" s="28" t="n">
        <v>5</v>
      </c>
      <c r="AF5" s="77" t="n">
        <v>45696</v>
      </c>
      <c r="AG5" s="28" t="n">
        <v>1</v>
      </c>
      <c r="AH5" s="37" t="n">
        <f aca="false">SUM(AE5,AG5)</f>
        <v>6</v>
      </c>
      <c r="AI5" s="42"/>
      <c r="AJ5" s="43" t="str">
        <f aca="false">IF(AND(S5&gt;=12,Y5&gt;=12,AH5&gt;=6),"да","нет")</f>
        <v>да</v>
      </c>
      <c r="AK5" s="2"/>
      <c r="AL5" s="2" t="n">
        <v>24</v>
      </c>
      <c r="AM5" s="23" t="n">
        <f aca="false">SUM(S5,Y5,AA5,AB5,AH5,AL5,AK5)</f>
        <v>61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169" t="s">
        <v>180</v>
      </c>
      <c r="C6" s="27" t="s">
        <v>127</v>
      </c>
      <c r="D6" s="27" t="n">
        <v>407868</v>
      </c>
      <c r="E6" s="28" t="s">
        <v>45</v>
      </c>
      <c r="F6" s="28" t="s">
        <v>518</v>
      </c>
      <c r="G6" s="28" t="s">
        <v>518</v>
      </c>
      <c r="H6" s="28" t="s">
        <v>518</v>
      </c>
      <c r="I6" s="28" t="s">
        <v>518</v>
      </c>
      <c r="J6" s="28" t="s">
        <v>45</v>
      </c>
      <c r="K6" s="28" t="s">
        <v>519</v>
      </c>
      <c r="L6" s="28" t="s">
        <v>519</v>
      </c>
      <c r="M6" s="29"/>
      <c r="N6" s="29"/>
      <c r="O6" s="29"/>
      <c r="P6" s="30"/>
      <c r="Q6" s="31" t="n">
        <v>3145</v>
      </c>
      <c r="R6" s="32" t="n">
        <f aca="false">R4</f>
        <v>45295</v>
      </c>
      <c r="S6" s="33" t="n">
        <v>13.5</v>
      </c>
      <c r="T6" s="34"/>
      <c r="U6" s="35" t="n">
        <v>32000</v>
      </c>
      <c r="V6" s="36" t="n">
        <f aca="false">V9</f>
        <v>45668</v>
      </c>
      <c r="W6" s="36" t="n">
        <f aca="false">V6</f>
        <v>45668</v>
      </c>
      <c r="X6" s="36" t="n">
        <f aca="false">W6</f>
        <v>45668</v>
      </c>
      <c r="Y6" s="37" t="n">
        <v>14</v>
      </c>
      <c r="Z6" s="38"/>
      <c r="AA6" s="39"/>
      <c r="AB6" s="39"/>
      <c r="AC6" s="44"/>
      <c r="AD6" s="41" t="n">
        <f aca="false">AD5</f>
        <v>45696</v>
      </c>
      <c r="AE6" s="28" t="n">
        <v>5</v>
      </c>
      <c r="AF6" s="36" t="n">
        <f aca="false">AF5</f>
        <v>45696</v>
      </c>
      <c r="AG6" s="28" t="n">
        <v>1</v>
      </c>
      <c r="AH6" s="37" t="n">
        <f aca="false">SUM(AE6,AG6)</f>
        <v>6</v>
      </c>
      <c r="AI6" s="42"/>
      <c r="AJ6" s="43" t="str">
        <f aca="false">IF(AND(S6&gt;=12,Y6&gt;=12,AH6&gt;=6),"да","нет")</f>
        <v>да</v>
      </c>
      <c r="AK6" s="2"/>
      <c r="AL6" s="2" t="n">
        <v>40</v>
      </c>
      <c r="AM6" s="23" t="n">
        <f aca="false">SUM(S6,Y6,AA6,AB6,AH6,AL6,AK6)</f>
        <v>73.5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168" t="s">
        <v>187</v>
      </c>
      <c r="C7" s="27" t="s">
        <v>127</v>
      </c>
      <c r="D7" s="27" t="n">
        <v>465824</v>
      </c>
      <c r="E7" s="28" t="s">
        <v>45</v>
      </c>
      <c r="F7" s="28" t="s">
        <v>45</v>
      </c>
      <c r="G7" s="28" t="s">
        <v>45</v>
      </c>
      <c r="H7" s="28" t="s">
        <v>519</v>
      </c>
      <c r="I7" s="28" t="s">
        <v>519</v>
      </c>
      <c r="J7" s="28" t="s">
        <v>45</v>
      </c>
      <c r="K7" s="28" t="s">
        <v>519</v>
      </c>
      <c r="L7" s="28" t="s">
        <v>519</v>
      </c>
      <c r="M7" s="29" t="s">
        <v>523</v>
      </c>
      <c r="N7" s="29"/>
      <c r="O7" s="29"/>
      <c r="P7" s="30"/>
      <c r="Q7" s="31" t="n">
        <v>3136</v>
      </c>
      <c r="R7" s="39" t="n">
        <v>23.11</v>
      </c>
      <c r="S7" s="33" t="n">
        <v>19</v>
      </c>
      <c r="T7" s="34"/>
      <c r="U7" s="35" t="n">
        <v>31286</v>
      </c>
      <c r="V7" s="28" t="n">
        <v>21.12</v>
      </c>
      <c r="W7" s="28" t="n">
        <v>21.12</v>
      </c>
      <c r="X7" s="28" t="n">
        <v>4.01</v>
      </c>
      <c r="Y7" s="37" t="n">
        <v>17.5</v>
      </c>
      <c r="Z7" s="38"/>
      <c r="AA7" s="39"/>
      <c r="AB7" s="39"/>
      <c r="AC7" s="40"/>
      <c r="AD7" s="41" t="n">
        <v>46011</v>
      </c>
      <c r="AE7" s="28" t="n">
        <v>5</v>
      </c>
      <c r="AF7" s="41"/>
      <c r="AG7" s="28" t="n">
        <v>5</v>
      </c>
      <c r="AH7" s="37" t="n">
        <f aca="false">SUM(AE7,AG7)</f>
        <v>10</v>
      </c>
      <c r="AI7" s="42"/>
      <c r="AJ7" s="43" t="str">
        <f aca="false">IF(AND(S7&gt;=12,Y7&gt;=12,AH7&gt;=6),"да","нет")</f>
        <v>да</v>
      </c>
      <c r="AK7" s="2"/>
      <c r="AL7" s="2" t="n">
        <v>40</v>
      </c>
      <c r="AM7" s="23" t="n">
        <f aca="false">SUM(S7,Y7,AA7,AB7,AH7,AL7,AK7)</f>
        <v>86.5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169" t="s">
        <v>193</v>
      </c>
      <c r="C8" s="27" t="s">
        <v>127</v>
      </c>
      <c r="D8" s="27" t="n">
        <v>465871</v>
      </c>
      <c r="E8" s="28" t="s">
        <v>45</v>
      </c>
      <c r="F8" s="28" t="s">
        <v>45</v>
      </c>
      <c r="G8" s="28" t="s">
        <v>45</v>
      </c>
      <c r="H8" s="28" t="s">
        <v>518</v>
      </c>
      <c r="I8" s="28" t="s">
        <v>519</v>
      </c>
      <c r="J8" s="28" t="s">
        <v>519</v>
      </c>
      <c r="K8" s="28" t="s">
        <v>518</v>
      </c>
      <c r="L8" s="28" t="s">
        <v>518</v>
      </c>
      <c r="M8" s="29"/>
      <c r="N8" s="29"/>
      <c r="O8" s="29"/>
      <c r="P8" s="30"/>
      <c r="Q8" s="31" t="n">
        <v>3128</v>
      </c>
      <c r="R8" s="32" t="n">
        <f aca="false">J2</f>
        <v>45267</v>
      </c>
      <c r="S8" s="33" t="n">
        <v>14</v>
      </c>
      <c r="T8" s="34"/>
      <c r="U8" s="35" t="n">
        <v>31229</v>
      </c>
      <c r="V8" s="36" t="n">
        <v>45675</v>
      </c>
      <c r="W8" s="36" t="n">
        <v>45675</v>
      </c>
      <c r="X8" s="36" t="n">
        <v>45675</v>
      </c>
      <c r="Y8" s="37" t="n">
        <v>14</v>
      </c>
      <c r="Z8" s="38"/>
      <c r="AA8" s="39"/>
      <c r="AB8" s="39"/>
      <c r="AC8" s="40"/>
      <c r="AD8" s="41" t="n">
        <v>46011</v>
      </c>
      <c r="AE8" s="28" t="n">
        <v>10</v>
      </c>
      <c r="AF8" s="41"/>
      <c r="AG8" s="41"/>
      <c r="AH8" s="37" t="n">
        <f aca="false">SUM(AE8,AG8)</f>
        <v>10</v>
      </c>
      <c r="AI8" s="42"/>
      <c r="AJ8" s="43" t="str">
        <f aca="false">IF(AND(S8&gt;=12,Y8&gt;=12,AH8&gt;=6),"да","нет")</f>
        <v>да</v>
      </c>
      <c r="AK8" s="2"/>
      <c r="AL8" s="2" t="n">
        <v>40</v>
      </c>
      <c r="AM8" s="23" t="n">
        <f aca="false">SUM(S8,Y8,AA8,AB8,AH8,AL8,AK8)</f>
        <v>78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168" t="s">
        <v>207</v>
      </c>
      <c r="C9" s="27" t="s">
        <v>127</v>
      </c>
      <c r="D9" s="27" t="n">
        <v>463221</v>
      </c>
      <c r="E9" s="28" t="s">
        <v>45</v>
      </c>
      <c r="F9" s="28" t="s">
        <v>518</v>
      </c>
      <c r="G9" s="28" t="s">
        <v>518</v>
      </c>
      <c r="H9" s="28" t="s">
        <v>518</v>
      </c>
      <c r="I9" s="28" t="s">
        <v>518</v>
      </c>
      <c r="J9" s="28" t="s">
        <v>45</v>
      </c>
      <c r="K9" s="28" t="s">
        <v>519</v>
      </c>
      <c r="L9" s="28" t="s">
        <v>519</v>
      </c>
      <c r="M9" s="29" t="s">
        <v>45</v>
      </c>
      <c r="N9" s="29"/>
      <c r="O9" s="29"/>
      <c r="P9" s="30"/>
      <c r="Q9" s="31" t="n">
        <v>3131</v>
      </c>
      <c r="R9" s="39" t="n">
        <v>4.01</v>
      </c>
      <c r="S9" s="33" t="n">
        <v>15</v>
      </c>
      <c r="T9" s="34"/>
      <c r="U9" s="35" t="n">
        <v>32286</v>
      </c>
      <c r="V9" s="36" t="n">
        <v>45668</v>
      </c>
      <c r="W9" s="36" t="n">
        <v>45668</v>
      </c>
      <c r="X9" s="36" t="n">
        <v>45668</v>
      </c>
      <c r="Y9" s="37" t="n">
        <v>14</v>
      </c>
      <c r="Z9" s="38"/>
      <c r="AA9" s="39"/>
      <c r="AB9" s="39"/>
      <c r="AC9" s="44"/>
      <c r="AD9" s="41" t="n">
        <v>45675</v>
      </c>
      <c r="AE9" s="28" t="n">
        <v>5</v>
      </c>
      <c r="AF9" s="41" t="n">
        <v>45675</v>
      </c>
      <c r="AG9" s="28" t="n">
        <v>1</v>
      </c>
      <c r="AH9" s="37" t="n">
        <f aca="false">SUM(AE9,AG9)</f>
        <v>6</v>
      </c>
      <c r="AI9" s="42"/>
      <c r="AJ9" s="43" t="str">
        <f aca="false">IF(AND(S9&gt;=12,Y9&gt;=12,AH9&gt;=6),"да","нет")</f>
        <v>да</v>
      </c>
      <c r="AK9" s="2"/>
      <c r="AL9" s="37" t="n">
        <v>25</v>
      </c>
      <c r="AM9" s="23" t="n">
        <f aca="false">SUM(S9,Y9,AA9,AB9,AH9,AL9,AK9)</f>
        <v>60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168" t="s">
        <v>587</v>
      </c>
      <c r="C10" s="27" t="s">
        <v>127</v>
      </c>
      <c r="D10" s="27" t="n">
        <v>407796</v>
      </c>
      <c r="E10" s="28" t="s">
        <v>45</v>
      </c>
      <c r="F10" s="28" t="s">
        <v>518</v>
      </c>
      <c r="G10" s="28" t="s">
        <v>518</v>
      </c>
      <c r="H10" s="28" t="s">
        <v>518</v>
      </c>
      <c r="I10" s="28" t="s">
        <v>518</v>
      </c>
      <c r="J10" s="28" t="s">
        <v>519</v>
      </c>
      <c r="K10" s="28" t="s">
        <v>519</v>
      </c>
      <c r="L10" s="28" t="s">
        <v>518</v>
      </c>
      <c r="M10" s="29" t="s">
        <v>518</v>
      </c>
      <c r="N10" s="29"/>
      <c r="O10" s="29"/>
      <c r="P10" s="30"/>
      <c r="Q10" s="31" t="n">
        <v>3143</v>
      </c>
      <c r="R10" s="39" t="n">
        <v>21.12</v>
      </c>
      <c r="S10" s="33" t="n">
        <v>17</v>
      </c>
      <c r="T10" s="34"/>
      <c r="U10" s="2" t="n">
        <v>31293</v>
      </c>
      <c r="V10" s="36" t="n">
        <v>45696</v>
      </c>
      <c r="W10" s="36" t="n">
        <v>45696</v>
      </c>
      <c r="X10" s="36" t="n">
        <v>45703</v>
      </c>
      <c r="Y10" s="37" t="n">
        <v>12</v>
      </c>
      <c r="Z10" s="38"/>
      <c r="AA10" s="39"/>
      <c r="AB10" s="39"/>
      <c r="AC10" s="40"/>
      <c r="AD10" s="41" t="n">
        <v>45696</v>
      </c>
      <c r="AE10" s="28" t="n">
        <v>5</v>
      </c>
      <c r="AF10" s="41" t="n">
        <v>45696</v>
      </c>
      <c r="AG10" s="28" t="n">
        <v>1</v>
      </c>
      <c r="AH10" s="37" t="n">
        <f aca="false">SUM(AE10,AG10)</f>
        <v>6</v>
      </c>
      <c r="AI10" s="42"/>
      <c r="AJ10" s="43" t="str">
        <f aca="false">IF(AND(S10&gt;=12,Y10&gt;=12,AH10&gt;=6),"да","нет")</f>
        <v>да</v>
      </c>
      <c r="AK10" s="2"/>
      <c r="AL10" s="2" t="n">
        <v>25</v>
      </c>
      <c r="AM10" s="23" t="n">
        <f aca="false">SUM(S10,Y10,AA10,AB10,AH10,AL10,AK10)</f>
        <v>60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169" t="s">
        <v>239</v>
      </c>
      <c r="C11" s="27" t="s">
        <v>127</v>
      </c>
      <c r="D11" s="27" t="n">
        <v>466280</v>
      </c>
      <c r="E11" s="28" t="s">
        <v>518</v>
      </c>
      <c r="F11" s="28" t="s">
        <v>519</v>
      </c>
      <c r="G11" s="28" t="s">
        <v>518</v>
      </c>
      <c r="H11" s="28" t="s">
        <v>522</v>
      </c>
      <c r="I11" s="28" t="s">
        <v>519</v>
      </c>
      <c r="J11" s="28" t="s">
        <v>522</v>
      </c>
      <c r="K11" s="28" t="s">
        <v>518</v>
      </c>
      <c r="L11" s="28" t="s">
        <v>518</v>
      </c>
      <c r="M11" s="29"/>
      <c r="N11" s="29"/>
      <c r="O11" s="29"/>
      <c r="P11" s="30"/>
      <c r="Q11" s="31" t="n">
        <v>3132</v>
      </c>
      <c r="R11" s="32" t="n">
        <f aca="false">I2</f>
        <v>45253</v>
      </c>
      <c r="S11" s="33" t="n">
        <v>18</v>
      </c>
      <c r="T11" s="34"/>
      <c r="U11" s="35" t="n">
        <v>31228</v>
      </c>
      <c r="V11" s="28" t="n">
        <v>7.12</v>
      </c>
      <c r="W11" s="28" t="n">
        <v>7.12</v>
      </c>
      <c r="X11" s="28" t="n">
        <v>21.12</v>
      </c>
      <c r="Y11" s="37" t="n">
        <v>17</v>
      </c>
      <c r="Z11" s="38"/>
      <c r="AA11" s="39"/>
      <c r="AB11" s="39"/>
      <c r="AC11" s="40"/>
      <c r="AD11" s="41" t="n">
        <v>45675</v>
      </c>
      <c r="AE11" s="28" t="n">
        <v>5</v>
      </c>
      <c r="AF11" s="41" t="n">
        <v>45675</v>
      </c>
      <c r="AG11" s="28" t="n">
        <v>1</v>
      </c>
      <c r="AH11" s="37" t="n">
        <f aca="false">SUM(AE11,AG11)</f>
        <v>6</v>
      </c>
      <c r="AI11" s="42"/>
      <c r="AJ11" s="43" t="str">
        <f aca="false">IF(AND(S11&gt;=12,Y11&gt;=12,AH11&gt;=6),"да","нет")</f>
        <v>да</v>
      </c>
      <c r="AK11" s="2"/>
      <c r="AL11" s="2" t="n">
        <v>40</v>
      </c>
      <c r="AM11" s="23" t="n">
        <f aca="false">SUM(S11,Y11,AA11,AB11,AH11,AL11,AK11)</f>
        <v>81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169" t="s">
        <v>266</v>
      </c>
      <c r="C12" s="27" t="s">
        <v>127</v>
      </c>
      <c r="D12" s="27" t="n">
        <v>466449</v>
      </c>
      <c r="E12" s="28" t="s">
        <v>45</v>
      </c>
      <c r="F12" s="28" t="s">
        <v>519</v>
      </c>
      <c r="G12" s="28" t="s">
        <v>519</v>
      </c>
      <c r="H12" s="28" t="s">
        <v>518</v>
      </c>
      <c r="I12" s="28" t="s">
        <v>518</v>
      </c>
      <c r="J12" s="28" t="s">
        <v>519</v>
      </c>
      <c r="K12" s="28" t="s">
        <v>518</v>
      </c>
      <c r="L12" s="28" t="s">
        <v>518</v>
      </c>
      <c r="M12" s="29"/>
      <c r="N12" s="29"/>
      <c r="O12" s="29"/>
      <c r="P12" s="30"/>
      <c r="Q12" s="31" t="n">
        <v>3127</v>
      </c>
      <c r="R12" s="39" t="n">
        <v>26.1</v>
      </c>
      <c r="S12" s="33" t="n">
        <v>20</v>
      </c>
      <c r="T12" s="34"/>
      <c r="U12" s="35" t="n">
        <v>31279</v>
      </c>
      <c r="V12" s="36" t="n">
        <f aca="false">J2</f>
        <v>45267</v>
      </c>
      <c r="W12" s="36" t="n">
        <f aca="false">J2</f>
        <v>45267</v>
      </c>
      <c r="X12" s="36" t="n">
        <f aca="false">J2</f>
        <v>45267</v>
      </c>
      <c r="Y12" s="37" t="n">
        <v>20</v>
      </c>
      <c r="Z12" s="38"/>
      <c r="AA12" s="33"/>
      <c r="AB12" s="39"/>
      <c r="AC12" s="40"/>
      <c r="AD12" s="41" t="n">
        <v>46011</v>
      </c>
      <c r="AE12" s="28" t="n">
        <v>10</v>
      </c>
      <c r="AF12" s="41"/>
      <c r="AG12" s="41"/>
      <c r="AH12" s="37" t="n">
        <f aca="false">SUM(AE12,AG12)</f>
        <v>10</v>
      </c>
      <c r="AI12" s="42"/>
      <c r="AJ12" s="43" t="str">
        <f aca="false">IF(AND(S12&gt;=12,Y12&gt;=12,AH12&gt;=6),"да","нет")</f>
        <v>да</v>
      </c>
      <c r="AK12" s="2"/>
      <c r="AL12" s="2" t="n">
        <v>40</v>
      </c>
      <c r="AM12" s="23" t="n">
        <f aca="false">SUM(S12,Y12,AA12,AB12,AH12,AL12,AK12)</f>
        <v>90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168" t="s">
        <v>588</v>
      </c>
      <c r="C13" s="27" t="s">
        <v>127</v>
      </c>
      <c r="D13" s="27" t="n">
        <v>407885</v>
      </c>
      <c r="E13" s="28" t="s">
        <v>45</v>
      </c>
      <c r="F13" s="28" t="s">
        <v>518</v>
      </c>
      <c r="G13" s="28" t="s">
        <v>519</v>
      </c>
      <c r="H13" s="28" t="s">
        <v>518</v>
      </c>
      <c r="I13" s="28" t="s">
        <v>518</v>
      </c>
      <c r="J13" s="28" t="s">
        <v>519</v>
      </c>
      <c r="K13" s="28" t="s">
        <v>518</v>
      </c>
      <c r="L13" s="28" t="s">
        <v>519</v>
      </c>
      <c r="M13" s="29" t="s">
        <v>45</v>
      </c>
      <c r="N13" s="29"/>
      <c r="O13" s="29"/>
      <c r="P13" s="30"/>
      <c r="Q13" s="31" t="n">
        <v>3144</v>
      </c>
      <c r="R13" s="39" t="n">
        <v>4.01</v>
      </c>
      <c r="S13" s="33" t="n">
        <v>15</v>
      </c>
      <c r="T13" s="34"/>
      <c r="U13" s="35" t="n">
        <v>31296</v>
      </c>
      <c r="V13" s="28" t="n">
        <v>11.01</v>
      </c>
      <c r="W13" s="28" t="n">
        <v>11.01</v>
      </c>
      <c r="X13" s="28" t="n">
        <v>18.01</v>
      </c>
      <c r="Y13" s="37" t="n">
        <v>13</v>
      </c>
      <c r="Z13" s="38"/>
      <c r="AA13" s="39"/>
      <c r="AB13" s="39"/>
      <c r="AC13" s="40"/>
      <c r="AD13" s="41" t="n">
        <v>45696</v>
      </c>
      <c r="AE13" s="28" t="n">
        <v>6</v>
      </c>
      <c r="AF13" s="41" t="n">
        <v>45696</v>
      </c>
      <c r="AG13" s="28" t="n">
        <v>6</v>
      </c>
      <c r="AH13" s="37" t="n">
        <f aca="false">SUM(AE13,AG13)</f>
        <v>12</v>
      </c>
      <c r="AI13" s="42"/>
      <c r="AJ13" s="43" t="str">
        <f aca="false">IF(AND(S13&gt;=12,Y13&gt;=12,AH13&gt;=6),"да","нет")</f>
        <v>да</v>
      </c>
      <c r="AK13" s="2"/>
      <c r="AL13" s="2" t="n">
        <v>24</v>
      </c>
      <c r="AM13" s="23" t="n">
        <f aca="false">SUM(S13,Y13,AA13,AB13,AH13,AL13,AK13)</f>
        <v>64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168" t="s">
        <v>273</v>
      </c>
      <c r="C14" s="27" t="s">
        <v>127</v>
      </c>
      <c r="D14" s="27" t="n">
        <v>466490</v>
      </c>
      <c r="E14" s="28" t="s">
        <v>45</v>
      </c>
      <c r="F14" s="28" t="s">
        <v>45</v>
      </c>
      <c r="G14" s="28" t="s">
        <v>45</v>
      </c>
      <c r="H14" s="28" t="s">
        <v>518</v>
      </c>
      <c r="I14" s="28" t="s">
        <v>518</v>
      </c>
      <c r="J14" s="28" t="s">
        <v>518</v>
      </c>
      <c r="K14" s="28" t="s">
        <v>45</v>
      </c>
      <c r="L14" s="28" t="s">
        <v>518</v>
      </c>
      <c r="M14" s="29" t="s">
        <v>518</v>
      </c>
      <c r="N14" s="29"/>
      <c r="O14" s="29"/>
      <c r="P14" s="30"/>
      <c r="Q14" s="31" t="n">
        <v>3147</v>
      </c>
      <c r="R14" s="32" t="n">
        <v>45703</v>
      </c>
      <c r="S14" s="33" t="n">
        <v>12</v>
      </c>
      <c r="T14" s="34"/>
      <c r="U14" s="35" t="n">
        <v>32288</v>
      </c>
      <c r="V14" s="36" t="n">
        <v>45703</v>
      </c>
      <c r="W14" s="36" t="n">
        <v>45703</v>
      </c>
      <c r="X14" s="36" t="n">
        <v>45703</v>
      </c>
      <c r="Y14" s="37" t="n">
        <v>12</v>
      </c>
      <c r="Z14" s="38"/>
      <c r="AA14" s="39"/>
      <c r="AB14" s="39"/>
      <c r="AC14" s="40"/>
      <c r="AD14" s="41" t="n">
        <v>45696</v>
      </c>
      <c r="AE14" s="28" t="n">
        <v>5</v>
      </c>
      <c r="AF14" s="41" t="n">
        <f aca="false">AD14</f>
        <v>45696</v>
      </c>
      <c r="AG14" s="28" t="n">
        <v>1</v>
      </c>
      <c r="AH14" s="37" t="n">
        <f aca="false">SUM(AE14,AG14)</f>
        <v>6</v>
      </c>
      <c r="AI14" s="42"/>
      <c r="AJ14" s="43" t="str">
        <f aca="false">IF(AND(S14&gt;=12,Y14&gt;=12,AH14&gt;=6),"да","нет")</f>
        <v>да</v>
      </c>
      <c r="AK14" s="2"/>
      <c r="AL14" s="2" t="s">
        <v>584</v>
      </c>
      <c r="AM14" s="23" t="n">
        <f aca="false">SUM(S14,Y14,AA14,AB14,AH14,AL14,AK14)</f>
        <v>30</v>
      </c>
      <c r="AN14" s="29" t="str">
        <f aca="false">IF(AND(S14&gt;=12,Y14&gt;=12,AH14&gt;=6,AL14&gt;=24,AM14&gt;=60),"Зачет","Незачет")</f>
        <v>Незачет</v>
      </c>
    </row>
    <row r="15" customFormat="false" ht="15.75" hidden="false" customHeight="false" outlineLevel="0" collapsed="false">
      <c r="A15" s="25" t="n">
        <v>13</v>
      </c>
      <c r="B15" s="169" t="s">
        <v>293</v>
      </c>
      <c r="C15" s="27" t="s">
        <v>127</v>
      </c>
      <c r="D15" s="27" t="n">
        <v>472209</v>
      </c>
      <c r="E15" s="28" t="s">
        <v>518</v>
      </c>
      <c r="F15" s="28" t="s">
        <v>518</v>
      </c>
      <c r="G15" s="28" t="s">
        <v>518</v>
      </c>
      <c r="H15" s="28" t="s">
        <v>518</v>
      </c>
      <c r="I15" s="28" t="s">
        <v>518</v>
      </c>
      <c r="J15" s="28" t="s">
        <v>518</v>
      </c>
      <c r="K15" s="28" t="s">
        <v>518</v>
      </c>
      <c r="L15" s="28" t="s">
        <v>518</v>
      </c>
      <c r="M15" s="29"/>
      <c r="N15" s="29"/>
      <c r="O15" s="29"/>
      <c r="P15" s="30"/>
      <c r="Q15" s="31" t="n">
        <v>3149</v>
      </c>
      <c r="R15" s="32"/>
      <c r="S15" s="33"/>
      <c r="T15" s="34"/>
      <c r="U15" s="35"/>
      <c r="V15" s="36"/>
      <c r="W15" s="36"/>
      <c r="X15" s="36"/>
      <c r="Y15" s="37"/>
      <c r="Z15" s="38"/>
      <c r="AA15" s="39"/>
      <c r="AB15" s="39"/>
      <c r="AC15" s="40"/>
      <c r="AD15" s="41"/>
      <c r="AE15" s="41"/>
      <c r="AF15" s="41"/>
      <c r="AG15" s="41"/>
      <c r="AH15" s="37" t="n">
        <f aca="false">SUM(AE15,AG15)</f>
        <v>0</v>
      </c>
      <c r="AI15" s="42"/>
      <c r="AJ15" s="43" t="str">
        <f aca="false">IF(AND(S15&gt;=12,Y15&gt;=12,AH15&gt;=6),"да","нет")</f>
        <v>нет</v>
      </c>
      <c r="AK15" s="2"/>
      <c r="AL15" s="2" t="n">
        <v>0</v>
      </c>
      <c r="AM15" s="23" t="n">
        <f aca="false">SUM(S15,Y15,AA15,AB15,AH15,AL15,AK15)</f>
        <v>0</v>
      </c>
      <c r="AN15" s="29" t="str">
        <f aca="false">IF(AND(S15&gt;=12,Y15&gt;=12,AH15&gt;=6,AL15&gt;=24,AM15&gt;=60),"Зачет","Незачет")</f>
        <v>Незачет</v>
      </c>
    </row>
    <row r="16" customFormat="false" ht="15.75" hidden="false" customHeight="false" outlineLevel="0" collapsed="false">
      <c r="A16" s="25" t="n">
        <v>14</v>
      </c>
      <c r="B16" s="168" t="s">
        <v>589</v>
      </c>
      <c r="C16" s="27" t="s">
        <v>127</v>
      </c>
      <c r="D16" s="27" t="n">
        <v>407888</v>
      </c>
      <c r="E16" s="28" t="s">
        <v>45</v>
      </c>
      <c r="F16" s="28" t="s">
        <v>45</v>
      </c>
      <c r="G16" s="28" t="s">
        <v>519</v>
      </c>
      <c r="H16" s="28" t="s">
        <v>522</v>
      </c>
      <c r="I16" s="28" t="s">
        <v>519</v>
      </c>
      <c r="J16" s="28" t="s">
        <v>518</v>
      </c>
      <c r="K16" s="28" t="s">
        <v>519</v>
      </c>
      <c r="L16" s="28" t="s">
        <v>45</v>
      </c>
      <c r="M16" s="29" t="s">
        <v>523</v>
      </c>
      <c r="N16" s="29"/>
      <c r="O16" s="29"/>
      <c r="P16" s="30"/>
      <c r="Q16" s="31" t="n">
        <v>3143</v>
      </c>
      <c r="R16" s="39" t="n">
        <v>23.11</v>
      </c>
      <c r="S16" s="33" t="n">
        <v>19</v>
      </c>
      <c r="T16" s="34"/>
      <c r="U16" s="35" t="n">
        <v>31283</v>
      </c>
      <c r="V16" s="28" t="n">
        <v>21.12</v>
      </c>
      <c r="W16" s="28" t="n">
        <v>21.12</v>
      </c>
      <c r="X16" s="28" t="n">
        <v>4.01</v>
      </c>
      <c r="Y16" s="37" t="n">
        <v>19</v>
      </c>
      <c r="Z16" s="38"/>
      <c r="AA16" s="39"/>
      <c r="AB16" s="39"/>
      <c r="AC16" s="40"/>
      <c r="AD16" s="41" t="n">
        <v>46011</v>
      </c>
      <c r="AE16" s="28" t="n">
        <v>5</v>
      </c>
      <c r="AF16" s="41"/>
      <c r="AG16" s="28" t="n">
        <v>4</v>
      </c>
      <c r="AH16" s="37" t="n">
        <f aca="false">SUM(AE16,AG16)</f>
        <v>9</v>
      </c>
      <c r="AI16" s="42"/>
      <c r="AJ16" s="43" t="str">
        <f aca="false">IF(AND(S16&gt;=12,Y16&gt;=12,AH16&gt;=6),"да","нет")</f>
        <v>да</v>
      </c>
      <c r="AK16" s="2"/>
      <c r="AL16" s="2" t="n">
        <v>40</v>
      </c>
      <c r="AM16" s="23" t="n">
        <f aca="false">SUM(S16,Y16,AA16,AB16,AH16,AL16,AK16)</f>
        <v>87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169" t="s">
        <v>314</v>
      </c>
      <c r="C17" s="27" t="s">
        <v>127</v>
      </c>
      <c r="D17" s="27" t="n">
        <v>466806</v>
      </c>
      <c r="E17" s="28" t="s">
        <v>518</v>
      </c>
      <c r="F17" s="28" t="s">
        <v>45</v>
      </c>
      <c r="G17" s="28" t="s">
        <v>518</v>
      </c>
      <c r="H17" s="28" t="s">
        <v>518</v>
      </c>
      <c r="I17" s="28" t="s">
        <v>518</v>
      </c>
      <c r="J17" s="28" t="s">
        <v>45</v>
      </c>
      <c r="K17" s="28" t="s">
        <v>45</v>
      </c>
      <c r="L17" s="28" t="s">
        <v>519</v>
      </c>
      <c r="M17" s="29"/>
      <c r="N17" s="29"/>
      <c r="O17" s="29"/>
      <c r="P17" s="30"/>
      <c r="Q17" s="31" t="n">
        <v>3150</v>
      </c>
      <c r="R17" s="32"/>
      <c r="S17" s="33"/>
      <c r="T17" s="34"/>
      <c r="U17" s="35"/>
      <c r="V17" s="36"/>
      <c r="W17" s="36"/>
      <c r="X17" s="36"/>
      <c r="Y17" s="37"/>
      <c r="Z17" s="38"/>
      <c r="AA17" s="39"/>
      <c r="AB17" s="39"/>
      <c r="AC17" s="44"/>
      <c r="AD17" s="41" t="n">
        <v>45696</v>
      </c>
      <c r="AE17" s="28" t="n">
        <v>0.01</v>
      </c>
      <c r="AF17" s="41" t="n">
        <v>45696</v>
      </c>
      <c r="AG17" s="28" t="n">
        <v>0.01</v>
      </c>
      <c r="AH17" s="37" t="n">
        <f aca="false">SUM(AE17,AG17)</f>
        <v>0.02</v>
      </c>
      <c r="AI17" s="42"/>
      <c r="AJ17" s="43" t="str">
        <f aca="false">IF(AND(S17&gt;=12,Y17&gt;=12,AH17&gt;=6),"да","нет")</f>
        <v>нет</v>
      </c>
      <c r="AK17" s="2"/>
      <c r="AL17" s="2" t="n">
        <v>0</v>
      </c>
      <c r="AM17" s="23" t="n">
        <f aca="false">SUM(S17,Y17,AA17,AB17,AH17,AL17,AK17)</f>
        <v>0.02</v>
      </c>
      <c r="AN17" s="29" t="str">
        <f aca="false">IF(AND(S17&gt;=12,Y17&gt;=12,AH17&gt;=6,AL17&gt;=24,AM17&gt;=60),"Зачет","Незачет")</f>
        <v>Незачет</v>
      </c>
    </row>
    <row r="18" customFormat="false" ht="15.75" hidden="false" customHeight="false" outlineLevel="0" collapsed="false">
      <c r="A18" s="25" t="n">
        <v>16</v>
      </c>
      <c r="B18" s="169" t="s">
        <v>334</v>
      </c>
      <c r="C18" s="27" t="s">
        <v>127</v>
      </c>
      <c r="D18" s="27" t="n">
        <v>466903</v>
      </c>
      <c r="E18" s="28" t="s">
        <v>45</v>
      </c>
      <c r="F18" s="28" t="s">
        <v>518</v>
      </c>
      <c r="G18" s="28" t="s">
        <v>45</v>
      </c>
      <c r="H18" s="28" t="s">
        <v>522</v>
      </c>
      <c r="I18" s="28" t="s">
        <v>519</v>
      </c>
      <c r="J18" s="28" t="s">
        <v>45</v>
      </c>
      <c r="K18" s="28" t="s">
        <v>519</v>
      </c>
      <c r="L18" s="28" t="s">
        <v>45</v>
      </c>
      <c r="M18" s="29"/>
      <c r="N18" s="29"/>
      <c r="O18" s="29"/>
      <c r="P18" s="30"/>
      <c r="Q18" s="31" t="n">
        <v>3135</v>
      </c>
      <c r="R18" s="32" t="n">
        <f aca="false">I2</f>
        <v>45253</v>
      </c>
      <c r="S18" s="33" t="n">
        <v>19</v>
      </c>
      <c r="T18" s="34"/>
      <c r="U18" s="35" t="n">
        <v>31281</v>
      </c>
      <c r="V18" s="36" t="n">
        <f aca="false">K2</f>
        <v>45281</v>
      </c>
      <c r="W18" s="36" t="n">
        <f aca="false">K2</f>
        <v>45281</v>
      </c>
      <c r="X18" s="36" t="n">
        <f aca="false">X29</f>
        <v>45295</v>
      </c>
      <c r="Y18" s="37" t="n">
        <v>15</v>
      </c>
      <c r="Z18" s="38"/>
      <c r="AA18" s="39"/>
      <c r="AB18" s="39"/>
      <c r="AC18" s="40"/>
      <c r="AD18" s="41" t="n">
        <v>45696</v>
      </c>
      <c r="AE18" s="28" t="n">
        <v>5</v>
      </c>
      <c r="AF18" s="41" t="n">
        <f aca="false">AD18</f>
        <v>45696</v>
      </c>
      <c r="AG18" s="28" t="n">
        <v>1</v>
      </c>
      <c r="AH18" s="37" t="n">
        <f aca="false">SUM(AE18,AG18)</f>
        <v>6</v>
      </c>
      <c r="AI18" s="42"/>
      <c r="AJ18" s="43" t="str">
        <f aca="false">IF(AND(S18&gt;=12,Y18&gt;=12,AH18&gt;=6),"да","нет")</f>
        <v>да</v>
      </c>
      <c r="AK18" s="2"/>
      <c r="AL18" s="2" t="n">
        <v>38</v>
      </c>
      <c r="AM18" s="23" t="n">
        <f aca="false">SUM(S18,Y18,AA18,AB18,AH18,AL18,AK18)</f>
        <v>78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168" t="s">
        <v>339</v>
      </c>
      <c r="C19" s="27" t="s">
        <v>127</v>
      </c>
      <c r="D19" s="27" t="n">
        <v>466944</v>
      </c>
      <c r="E19" s="28" t="s">
        <v>45</v>
      </c>
      <c r="F19" s="28" t="s">
        <v>45</v>
      </c>
      <c r="G19" s="28" t="s">
        <v>518</v>
      </c>
      <c r="H19" s="28" t="s">
        <v>45</v>
      </c>
      <c r="I19" s="28" t="s">
        <v>518</v>
      </c>
      <c r="J19" s="28" t="s">
        <v>518</v>
      </c>
      <c r="K19" s="28" t="s">
        <v>518</v>
      </c>
      <c r="L19" s="28" t="s">
        <v>519</v>
      </c>
      <c r="M19" s="29" t="s">
        <v>45</v>
      </c>
      <c r="N19" s="29"/>
      <c r="O19" s="29"/>
      <c r="P19" s="30"/>
      <c r="Q19" s="31" t="n">
        <v>3142</v>
      </c>
      <c r="R19" s="39" t="n">
        <v>23.11</v>
      </c>
      <c r="S19" s="33" t="n">
        <v>18.5</v>
      </c>
      <c r="T19" s="34"/>
      <c r="U19" s="35" t="n">
        <v>31287</v>
      </c>
      <c r="V19" s="36" t="n">
        <v>45668</v>
      </c>
      <c r="W19" s="36" t="n">
        <v>45668</v>
      </c>
      <c r="X19" s="28" t="n">
        <v>11.01</v>
      </c>
      <c r="Y19" s="37" t="n">
        <v>15</v>
      </c>
      <c r="Z19" s="38" t="s">
        <v>34</v>
      </c>
      <c r="AA19" s="39"/>
      <c r="AB19" s="39"/>
      <c r="AC19" s="40"/>
      <c r="AD19" s="41" t="n">
        <v>45675</v>
      </c>
      <c r="AE19" s="28" t="n">
        <v>5</v>
      </c>
      <c r="AF19" s="41" t="n">
        <v>45675</v>
      </c>
      <c r="AG19" s="28" t="n">
        <v>1</v>
      </c>
      <c r="AH19" s="37" t="n">
        <f aca="false">SUM(AE19,AG19)</f>
        <v>6</v>
      </c>
      <c r="AI19" s="42"/>
      <c r="AJ19" s="43" t="str">
        <f aca="false">IF(AND(S19&gt;=12,Y19&gt;=12,AH19&gt;=6),"да","нет")</f>
        <v>да</v>
      </c>
      <c r="AK19" s="2"/>
      <c r="AL19" s="2" t="n">
        <v>40</v>
      </c>
      <c r="AM19" s="23" t="n">
        <f aca="false">SUM(S19,Y19,AA19,AB19,AH19,AL19,AK19)</f>
        <v>79.5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168" t="s">
        <v>352</v>
      </c>
      <c r="C20" s="27" t="s">
        <v>127</v>
      </c>
      <c r="D20" s="27" t="n">
        <v>467082</v>
      </c>
      <c r="E20" s="28" t="s">
        <v>518</v>
      </c>
      <c r="F20" s="28" t="s">
        <v>518</v>
      </c>
      <c r="G20" s="28" t="s">
        <v>519</v>
      </c>
      <c r="H20" s="28" t="s">
        <v>518</v>
      </c>
      <c r="I20" s="28" t="s">
        <v>518</v>
      </c>
      <c r="J20" s="28" t="s">
        <v>518</v>
      </c>
      <c r="K20" s="28" t="s">
        <v>519</v>
      </c>
      <c r="L20" s="28" t="s">
        <v>519</v>
      </c>
      <c r="M20" s="29" t="s">
        <v>45</v>
      </c>
      <c r="N20" s="29"/>
      <c r="O20" s="29"/>
      <c r="P20" s="30"/>
      <c r="Q20" s="46" t="n">
        <v>3151</v>
      </c>
      <c r="R20" s="28" t="n">
        <v>4.01</v>
      </c>
      <c r="S20" s="37" t="n">
        <v>14</v>
      </c>
      <c r="T20" s="47"/>
      <c r="U20" s="2" t="n">
        <v>31295</v>
      </c>
      <c r="V20" s="36" t="n">
        <v>45668</v>
      </c>
      <c r="W20" s="28" t="n">
        <v>11.01</v>
      </c>
      <c r="X20" s="28" t="n">
        <v>11.01</v>
      </c>
      <c r="Y20" s="37" t="n">
        <v>19</v>
      </c>
      <c r="Z20" s="38"/>
      <c r="AA20" s="39"/>
      <c r="AB20" s="39"/>
      <c r="AC20" s="48"/>
      <c r="AD20" s="41" t="n">
        <v>46011</v>
      </c>
      <c r="AE20" s="28" t="n">
        <v>5</v>
      </c>
      <c r="AF20" s="28"/>
      <c r="AG20" s="28" t="n">
        <v>3</v>
      </c>
      <c r="AH20" s="37" t="n">
        <f aca="false">SUM(AE20,AG20)</f>
        <v>8</v>
      </c>
      <c r="AI20" s="42"/>
      <c r="AJ20" s="43" t="str">
        <f aca="false">IF(AND(S20&gt;=12,Y20&gt;=12,AH20&gt;=6),"да","нет")</f>
        <v>да</v>
      </c>
      <c r="AK20" s="2"/>
      <c r="AL20" s="2" t="n">
        <v>40</v>
      </c>
      <c r="AM20" s="23" t="n">
        <f aca="false">SUM(S20,Y20,AA20,AB20,AH20,AL20,AK20)</f>
        <v>81</v>
      </c>
      <c r="AN20" s="29" t="str">
        <f aca="false">IF(AND(S20&gt;=12,Y20&gt;=12,AH20&gt;=6,AL20&gt;=24,AM20&gt;=60),"Зачет","Незачет")</f>
        <v>Зачет</v>
      </c>
    </row>
    <row r="21" customFormat="false" ht="15.75" hidden="false" customHeight="false" outlineLevel="0" collapsed="false">
      <c r="A21" s="25" t="n">
        <v>19</v>
      </c>
      <c r="B21" s="170" t="s">
        <v>369</v>
      </c>
      <c r="C21" s="27" t="s">
        <v>127</v>
      </c>
      <c r="D21" s="27" t="n">
        <v>467211</v>
      </c>
      <c r="E21" s="28" t="s">
        <v>45</v>
      </c>
      <c r="F21" s="28" t="s">
        <v>45</v>
      </c>
      <c r="G21" s="28" t="s">
        <v>518</v>
      </c>
      <c r="H21" s="28" t="s">
        <v>518</v>
      </c>
      <c r="I21" s="28" t="s">
        <v>518</v>
      </c>
      <c r="J21" s="28" t="s">
        <v>519</v>
      </c>
      <c r="K21" s="28" t="s">
        <v>522</v>
      </c>
      <c r="L21" s="28" t="s">
        <v>518</v>
      </c>
      <c r="M21" s="29"/>
      <c r="N21" s="29"/>
      <c r="O21" s="29"/>
      <c r="P21" s="30"/>
      <c r="Q21" s="50" t="n">
        <v>3134</v>
      </c>
      <c r="R21" s="36" t="n">
        <f aca="false">K2</f>
        <v>45281</v>
      </c>
      <c r="S21" s="37" t="n">
        <v>15</v>
      </c>
      <c r="T21" s="47"/>
      <c r="U21" s="2" t="n">
        <v>31291</v>
      </c>
      <c r="V21" s="36" t="n">
        <f aca="false">X18</f>
        <v>45295</v>
      </c>
      <c r="W21" s="36" t="n">
        <f aca="false">V21</f>
        <v>45295</v>
      </c>
      <c r="X21" s="36" t="n">
        <f aca="false">W21</f>
        <v>45295</v>
      </c>
      <c r="Y21" s="37" t="n">
        <v>12</v>
      </c>
      <c r="Z21" s="38"/>
      <c r="AA21" s="39"/>
      <c r="AB21" s="39"/>
      <c r="AC21" s="48"/>
      <c r="AD21" s="41" t="n">
        <v>46011</v>
      </c>
      <c r="AE21" s="28" t="n">
        <v>10</v>
      </c>
      <c r="AF21" s="28"/>
      <c r="AG21" s="28"/>
      <c r="AH21" s="37" t="n">
        <f aca="false">SUM(AE21,AG21)</f>
        <v>10</v>
      </c>
      <c r="AI21" s="42"/>
      <c r="AJ21" s="43" t="str">
        <f aca="false">IF(AND(S21&gt;=12,Y21&gt;=12,AH21&gt;=6),"да","нет")</f>
        <v>да</v>
      </c>
      <c r="AK21" s="2"/>
      <c r="AL21" s="2" t="n">
        <v>40</v>
      </c>
      <c r="AM21" s="23" t="n">
        <f aca="false">SUM(S21,Y21,AA21,AB21,AH21,AL21,AK21)</f>
        <v>77</v>
      </c>
      <c r="AN21" s="29" t="str">
        <f aca="false">IF(AND(S21&gt;=12,Y21&gt;=12,AH21&gt;=6,AL21&gt;=24,AM21&gt;=60),"Зачет","Незачет")</f>
        <v>Зачет</v>
      </c>
    </row>
    <row r="22" customFormat="false" ht="15.75" hidden="false" customHeight="false" outlineLevel="0" collapsed="false">
      <c r="A22" s="25" t="n">
        <v>20</v>
      </c>
      <c r="B22" s="171" t="s">
        <v>381</v>
      </c>
      <c r="C22" s="27" t="s">
        <v>127</v>
      </c>
      <c r="D22" s="27" t="n">
        <v>467244</v>
      </c>
      <c r="E22" s="28" t="s">
        <v>45</v>
      </c>
      <c r="F22" s="28" t="s">
        <v>45</v>
      </c>
      <c r="G22" s="28" t="s">
        <v>518</v>
      </c>
      <c r="H22" s="28" t="s">
        <v>45</v>
      </c>
      <c r="I22" s="28" t="s">
        <v>519</v>
      </c>
      <c r="J22" s="28" t="s">
        <v>45</v>
      </c>
      <c r="K22" s="28" t="s">
        <v>518</v>
      </c>
      <c r="L22" s="28" t="s">
        <v>522</v>
      </c>
      <c r="M22" s="29" t="s">
        <v>45</v>
      </c>
      <c r="N22" s="29"/>
      <c r="O22" s="29"/>
      <c r="P22" s="30"/>
      <c r="Q22" s="50" t="n">
        <v>3140</v>
      </c>
      <c r="R22" s="28" t="n">
        <v>23.11</v>
      </c>
      <c r="S22" s="37" t="n">
        <v>19</v>
      </c>
      <c r="T22" s="47"/>
      <c r="U22" s="2" t="n">
        <v>31284</v>
      </c>
      <c r="V22" s="28" t="n">
        <v>4.01</v>
      </c>
      <c r="W22" s="36" t="n">
        <v>45668</v>
      </c>
      <c r="X22" s="36" t="n">
        <v>45668</v>
      </c>
      <c r="Y22" s="37" t="n">
        <v>14</v>
      </c>
      <c r="Z22" s="38"/>
      <c r="AA22" s="39"/>
      <c r="AB22" s="39"/>
      <c r="AC22" s="48"/>
      <c r="AD22" s="41" t="n">
        <v>45675</v>
      </c>
      <c r="AE22" s="28" t="n">
        <v>5</v>
      </c>
      <c r="AF22" s="41" t="n">
        <v>45675</v>
      </c>
      <c r="AG22" s="28" t="n">
        <v>1</v>
      </c>
      <c r="AH22" s="37" t="n">
        <f aca="false">SUM(AE22,AG22)</f>
        <v>6</v>
      </c>
      <c r="AI22" s="42"/>
      <c r="AJ22" s="43" t="str">
        <f aca="false">IF(AND(S22&gt;=12,Y22&gt;=12,AH22&gt;=6),"да","нет")</f>
        <v>да</v>
      </c>
      <c r="AK22" s="2"/>
      <c r="AL22" s="2" t="n">
        <v>40</v>
      </c>
      <c r="AM22" s="23" t="n">
        <f aca="false">SUM(S22,Y22,AA22,AB22,AH22,AL22,AK22)</f>
        <v>79</v>
      </c>
      <c r="AN22" s="29" t="str">
        <f aca="false">IF(AND(S22&gt;=12,Y22&gt;=12,AH22&gt;=6,AL22&gt;=24,AM22&gt;=60),"Зачет","Незачет")</f>
        <v>Зачет</v>
      </c>
    </row>
    <row r="23" customFormat="false" ht="15.75" hidden="false" customHeight="false" outlineLevel="0" collapsed="false">
      <c r="A23" s="25" t="n">
        <v>21</v>
      </c>
      <c r="B23" s="170" t="s">
        <v>590</v>
      </c>
      <c r="C23" s="27" t="s">
        <v>127</v>
      </c>
      <c r="D23" s="27" t="n">
        <v>467288</v>
      </c>
      <c r="E23" s="28" t="s">
        <v>45</v>
      </c>
      <c r="F23" s="28" t="s">
        <v>518</v>
      </c>
      <c r="G23" s="28" t="s">
        <v>518</v>
      </c>
      <c r="H23" s="28" t="s">
        <v>518</v>
      </c>
      <c r="I23" s="28" t="s">
        <v>518</v>
      </c>
      <c r="J23" s="28" t="s">
        <v>519</v>
      </c>
      <c r="K23" s="28" t="s">
        <v>522</v>
      </c>
      <c r="L23" s="28" t="s">
        <v>518</v>
      </c>
      <c r="M23" s="29"/>
      <c r="N23" s="29"/>
      <c r="O23" s="29"/>
      <c r="P23" s="30"/>
      <c r="Q23" s="50" t="n">
        <v>3129</v>
      </c>
      <c r="R23" s="36" t="n">
        <f aca="false">K2</f>
        <v>45281</v>
      </c>
      <c r="S23" s="37" t="n">
        <v>14</v>
      </c>
      <c r="T23" s="47"/>
      <c r="U23" s="2" t="n">
        <v>31292</v>
      </c>
      <c r="V23" s="36" t="n">
        <v>45703</v>
      </c>
      <c r="W23" s="36" t="n">
        <f aca="false">V23</f>
        <v>45703</v>
      </c>
      <c r="X23" s="36" t="n">
        <f aca="false">W23</f>
        <v>45703</v>
      </c>
      <c r="Y23" s="37" t="n">
        <v>14</v>
      </c>
      <c r="Z23" s="38"/>
      <c r="AA23" s="39"/>
      <c r="AB23" s="39"/>
      <c r="AC23" s="48"/>
      <c r="AD23" s="41" t="n">
        <v>45696</v>
      </c>
      <c r="AE23" s="28" t="n">
        <v>0.04</v>
      </c>
      <c r="AF23" s="28"/>
      <c r="AG23" s="28"/>
      <c r="AH23" s="37" t="n">
        <f aca="false">SUM(AE23,AG23)</f>
        <v>0.04</v>
      </c>
      <c r="AI23" s="42"/>
      <c r="AJ23" s="43" t="str">
        <f aca="false">IF(AND(S23&gt;=12,Y23&gt;=12,AH23&gt;=6),"да","нет")</f>
        <v>нет</v>
      </c>
      <c r="AK23" s="2"/>
      <c r="AL23" s="2" t="n">
        <v>0</v>
      </c>
      <c r="AM23" s="23" t="n">
        <f aca="false">SUM(S23,Y23,AA23,AB23,AH23,AL23,AK23)</f>
        <v>28.04</v>
      </c>
      <c r="AN23" s="29" t="str">
        <f aca="false">IF(AND(S23&gt;=12,Y23&gt;=12,AH23&gt;=6,AL23&gt;=24,AM23&gt;=60),"Зачет","Незачет")</f>
        <v>Незачет</v>
      </c>
    </row>
    <row r="24" customFormat="false" ht="15.75" hidden="false" customHeight="false" outlineLevel="0" collapsed="false">
      <c r="A24" s="25" t="n">
        <v>22</v>
      </c>
      <c r="B24" s="170" t="s">
        <v>389</v>
      </c>
      <c r="C24" s="27" t="s">
        <v>127</v>
      </c>
      <c r="D24" s="27" t="n">
        <v>467318</v>
      </c>
      <c r="E24" s="28" t="s">
        <v>45</v>
      </c>
      <c r="F24" s="28" t="s">
        <v>45</v>
      </c>
      <c r="G24" s="28" t="s">
        <v>45</v>
      </c>
      <c r="H24" s="28" t="s">
        <v>519</v>
      </c>
      <c r="I24" s="28" t="s">
        <v>518</v>
      </c>
      <c r="J24" s="28" t="s">
        <v>45</v>
      </c>
      <c r="K24" s="28" t="s">
        <v>519</v>
      </c>
      <c r="L24" s="28" t="s">
        <v>518</v>
      </c>
      <c r="M24" s="29"/>
      <c r="N24" s="29"/>
      <c r="O24" s="29"/>
      <c r="P24" s="30"/>
      <c r="Q24" s="50" t="n">
        <v>3130</v>
      </c>
      <c r="R24" s="36" t="n">
        <f aca="false">I2</f>
        <v>45253</v>
      </c>
      <c r="S24" s="37" t="n">
        <v>18</v>
      </c>
      <c r="T24" s="47"/>
      <c r="U24" s="2" t="n">
        <v>31280</v>
      </c>
      <c r="V24" s="36" t="n">
        <f aca="false">K2</f>
        <v>45281</v>
      </c>
      <c r="W24" s="36" t="n">
        <f aca="false">K2</f>
        <v>45281</v>
      </c>
      <c r="X24" s="36" t="n">
        <f aca="false">X22</f>
        <v>45668</v>
      </c>
      <c r="Y24" s="37" t="n">
        <v>17</v>
      </c>
      <c r="Z24" s="38"/>
      <c r="AA24" s="39"/>
      <c r="AB24" s="39"/>
      <c r="AC24" s="48"/>
      <c r="AD24" s="41" t="n">
        <v>46011</v>
      </c>
      <c r="AE24" s="28" t="n">
        <v>9.5</v>
      </c>
      <c r="AF24" s="28"/>
      <c r="AG24" s="28"/>
      <c r="AH24" s="37" t="n">
        <f aca="false">SUM(AE24,AG24)</f>
        <v>9.5</v>
      </c>
      <c r="AI24" s="42"/>
      <c r="AJ24" s="43" t="str">
        <f aca="false">IF(AND(S24&gt;=12,Y24&gt;=12,AH24&gt;=6),"да","нет")</f>
        <v>да</v>
      </c>
      <c r="AK24" s="2"/>
      <c r="AL24" s="2" t="n">
        <v>40</v>
      </c>
      <c r="AM24" s="23" t="n">
        <f aca="false">SUM(S24,Y24,AA24,AB24,AH24,AL24,AK24)</f>
        <v>84.5</v>
      </c>
      <c r="AN24" s="29" t="str">
        <f aca="false">IF(AND(S24&gt;=12,Y24&gt;=12,AH24&gt;=6,AL24&gt;=24,AM24&gt;=60),"Зачет","Незачет")</f>
        <v>Зачет</v>
      </c>
    </row>
    <row r="25" customFormat="false" ht="15.75" hidden="false" customHeight="false" outlineLevel="0" collapsed="false">
      <c r="A25" s="25" t="n">
        <v>23</v>
      </c>
      <c r="B25" s="171" t="s">
        <v>411</v>
      </c>
      <c r="C25" s="27" t="s">
        <v>127</v>
      </c>
      <c r="D25" s="27" t="n">
        <v>475197</v>
      </c>
      <c r="E25" s="28" t="s">
        <v>45</v>
      </c>
      <c r="F25" s="28" t="s">
        <v>45</v>
      </c>
      <c r="G25" s="28" t="s">
        <v>518</v>
      </c>
      <c r="H25" s="28" t="s">
        <v>518</v>
      </c>
      <c r="I25" s="28" t="s">
        <v>518</v>
      </c>
      <c r="J25" s="28" t="s">
        <v>518</v>
      </c>
      <c r="K25" s="28" t="s">
        <v>518</v>
      </c>
      <c r="L25" s="28" t="s">
        <v>518</v>
      </c>
      <c r="M25" s="29" t="s">
        <v>518</v>
      </c>
      <c r="N25" s="29"/>
      <c r="O25" s="29"/>
      <c r="P25" s="30"/>
      <c r="Q25" s="50" t="n">
        <v>3148</v>
      </c>
      <c r="R25" s="36"/>
      <c r="S25" s="37"/>
      <c r="T25" s="47"/>
      <c r="U25" s="2"/>
      <c r="V25" s="36"/>
      <c r="W25" s="36"/>
      <c r="X25" s="36"/>
      <c r="Y25" s="37"/>
      <c r="Z25" s="38"/>
      <c r="AA25" s="39"/>
      <c r="AB25" s="39"/>
      <c r="AC25" s="48"/>
      <c r="AD25" s="28"/>
      <c r="AE25" s="28"/>
      <c r="AF25" s="28"/>
      <c r="AG25" s="28"/>
      <c r="AH25" s="37" t="n">
        <f aca="false">SUM(AE25,AG25)</f>
        <v>0</v>
      </c>
      <c r="AI25" s="42"/>
      <c r="AJ25" s="43" t="str">
        <f aca="false">IF(AND(S25&gt;=12,Y25&gt;=12,AH25&gt;=6),"да","нет")</f>
        <v>нет</v>
      </c>
      <c r="AK25" s="2"/>
      <c r="AL25" s="2" t="n">
        <v>0</v>
      </c>
      <c r="AM25" s="23" t="n">
        <f aca="false">SUM(S25,Y25,AA25,AB25,AH25,AL25,AK25)</f>
        <v>0</v>
      </c>
      <c r="AN25" s="29" t="str">
        <f aca="false">IF(AND(S25&gt;=12,Y25&gt;=12,AH25&gt;=6,AL25&gt;=24,AM25&gt;=60),"Зачет","Незачет")</f>
        <v>Незачет</v>
      </c>
    </row>
    <row r="26" customFormat="false" ht="15.75" hidden="false" customHeight="false" outlineLevel="0" collapsed="false">
      <c r="A26" s="25" t="n">
        <v>24</v>
      </c>
      <c r="B26" s="171" t="s">
        <v>412</v>
      </c>
      <c r="C26" s="27" t="s">
        <v>127</v>
      </c>
      <c r="D26" s="27" t="n">
        <v>467478</v>
      </c>
      <c r="E26" s="28" t="s">
        <v>45</v>
      </c>
      <c r="F26" s="28" t="s">
        <v>45</v>
      </c>
      <c r="G26" s="28" t="s">
        <v>518</v>
      </c>
      <c r="H26" s="28" t="s">
        <v>518</v>
      </c>
      <c r="I26" s="28" t="s">
        <v>518</v>
      </c>
      <c r="J26" s="28" t="s">
        <v>518</v>
      </c>
      <c r="K26" s="28" t="s">
        <v>519</v>
      </c>
      <c r="L26" s="28" t="s">
        <v>519</v>
      </c>
      <c r="M26" s="29" t="s">
        <v>45</v>
      </c>
      <c r="N26" s="29"/>
      <c r="O26" s="29"/>
      <c r="P26" s="30"/>
      <c r="Q26" s="50" t="n">
        <v>3142</v>
      </c>
      <c r="R26" s="28" t="n">
        <v>11.01</v>
      </c>
      <c r="S26" s="37" t="n">
        <v>15</v>
      </c>
      <c r="T26" s="47"/>
      <c r="U26" s="47" t="n">
        <v>32287</v>
      </c>
      <c r="V26" s="36"/>
      <c r="W26" s="36"/>
      <c r="X26" s="36"/>
      <c r="Y26" s="37"/>
      <c r="Z26" s="38"/>
      <c r="AA26" s="39"/>
      <c r="AB26" s="39"/>
      <c r="AC26" s="48"/>
      <c r="AD26" s="77" t="n">
        <v>45675</v>
      </c>
      <c r="AE26" s="28" t="n">
        <v>0.01</v>
      </c>
      <c r="AF26" s="77" t="n">
        <v>45675</v>
      </c>
      <c r="AG26" s="28" t="n">
        <v>0.01</v>
      </c>
      <c r="AH26" s="37" t="n">
        <f aca="false">SUM(AE26,AG26)</f>
        <v>0.02</v>
      </c>
      <c r="AI26" s="42"/>
      <c r="AJ26" s="43" t="str">
        <f aca="false">IF(AND(S26&gt;=12,Y26&gt;=12,AH26&gt;=6),"да","нет")</f>
        <v>нет</v>
      </c>
      <c r="AK26" s="2"/>
      <c r="AL26" s="2" t="n">
        <v>0</v>
      </c>
      <c r="AM26" s="23" t="n">
        <f aca="false">SUM(S26,Y26,AA26,AB26,AH26,AL26,AK26)</f>
        <v>15.02</v>
      </c>
      <c r="AN26" s="29" t="str">
        <f aca="false">IF(AND(S26&gt;=12,Y26&gt;=12,AH26&gt;=6,AL26&gt;=24,AM26&gt;=60),"Зачет","Незачет")</f>
        <v>Незачет</v>
      </c>
    </row>
    <row r="27" customFormat="false" ht="15.75" hidden="false" customHeight="false" outlineLevel="0" collapsed="false">
      <c r="A27" s="25" t="n">
        <v>25</v>
      </c>
      <c r="B27" s="171" t="s">
        <v>429</v>
      </c>
      <c r="C27" s="27" t="s">
        <v>127</v>
      </c>
      <c r="D27" s="27" t="n">
        <v>467586</v>
      </c>
      <c r="E27" s="28" t="s">
        <v>45</v>
      </c>
      <c r="F27" s="28" t="s">
        <v>519</v>
      </c>
      <c r="G27" s="28" t="s">
        <v>522</v>
      </c>
      <c r="H27" s="28" t="s">
        <v>519</v>
      </c>
      <c r="I27" s="28" t="s">
        <v>519</v>
      </c>
      <c r="J27" s="28" t="s">
        <v>522</v>
      </c>
      <c r="K27" s="28" t="s">
        <v>519</v>
      </c>
      <c r="L27" s="28" t="s">
        <v>518</v>
      </c>
      <c r="M27" s="29" t="s">
        <v>523</v>
      </c>
      <c r="N27" s="29"/>
      <c r="O27" s="29"/>
      <c r="P27" s="30"/>
      <c r="Q27" s="50" t="n">
        <v>3138</v>
      </c>
      <c r="R27" s="50" t="n">
        <v>23.11</v>
      </c>
      <c r="S27" s="28" t="n">
        <v>19</v>
      </c>
      <c r="T27" s="47"/>
      <c r="U27" s="2" t="n">
        <v>32285</v>
      </c>
      <c r="V27" s="28" t="n">
        <v>7.12</v>
      </c>
      <c r="W27" s="28" t="n">
        <v>7.12</v>
      </c>
      <c r="X27" s="28" t="n">
        <v>21.12</v>
      </c>
      <c r="Y27" s="37" t="n">
        <v>20</v>
      </c>
      <c r="Z27" s="38"/>
      <c r="AA27" s="39"/>
      <c r="AB27" s="39"/>
      <c r="AC27" s="48"/>
      <c r="AD27" s="77" t="n">
        <f aca="false">AD26</f>
        <v>45675</v>
      </c>
      <c r="AE27" s="28" t="n">
        <v>5</v>
      </c>
      <c r="AF27" s="28"/>
      <c r="AG27" s="28" t="n">
        <v>3.5</v>
      </c>
      <c r="AH27" s="37" t="n">
        <f aca="false">SUM(AE27,AG27)</f>
        <v>8.5</v>
      </c>
      <c r="AI27" s="42"/>
      <c r="AJ27" s="43" t="str">
        <f aca="false">IF(AND(R27&gt;=12,Y27&gt;=12,AH27&gt;=6),"да","нет")</f>
        <v>да</v>
      </c>
      <c r="AK27" s="2"/>
      <c r="AL27" s="2" t="n">
        <v>40</v>
      </c>
      <c r="AM27" s="23" t="n">
        <f aca="false">SUM(S27,Y27,AA27,AB27,AH27,AL27,AK27)</f>
        <v>87.5</v>
      </c>
      <c r="AN27" s="29" t="str">
        <f aca="false">IF(AND(R27&gt;=12,Y27&gt;=12,AH27&gt;=6,AL27&gt;=24,AM27&gt;=60),"Зачет","Незачет")</f>
        <v>Зачет</v>
      </c>
    </row>
    <row r="28" customFormat="false" ht="15.75" hidden="false" customHeight="false" outlineLevel="0" collapsed="false">
      <c r="A28" s="25" t="n">
        <v>26</v>
      </c>
      <c r="B28" s="170" t="s">
        <v>442</v>
      </c>
      <c r="C28" s="27" t="s">
        <v>127</v>
      </c>
      <c r="D28" s="27" t="n">
        <v>409658</v>
      </c>
      <c r="E28" s="28" t="s">
        <v>45</v>
      </c>
      <c r="F28" s="28" t="s">
        <v>518</v>
      </c>
      <c r="G28" s="28" t="s">
        <v>518</v>
      </c>
      <c r="H28" s="28" t="s">
        <v>518</v>
      </c>
      <c r="I28" s="28" t="s">
        <v>518</v>
      </c>
      <c r="J28" s="28" t="s">
        <v>518</v>
      </c>
      <c r="K28" s="28" t="s">
        <v>518</v>
      </c>
      <c r="L28" s="28" t="s">
        <v>518</v>
      </c>
      <c r="M28" s="29"/>
      <c r="N28" s="29"/>
      <c r="O28" s="29"/>
      <c r="P28" s="30"/>
      <c r="Q28" s="50" t="n">
        <v>3152</v>
      </c>
      <c r="S28" s="37"/>
      <c r="T28" s="47"/>
      <c r="U28" s="2"/>
      <c r="V28" s="36"/>
      <c r="W28" s="36"/>
      <c r="X28" s="36"/>
      <c r="Y28" s="37"/>
      <c r="Z28" s="38"/>
      <c r="AA28" s="39"/>
      <c r="AB28" s="39"/>
      <c r="AC28" s="48"/>
      <c r="AD28" s="28"/>
      <c r="AE28" s="28"/>
      <c r="AF28" s="28"/>
      <c r="AG28" s="28"/>
      <c r="AH28" s="37" t="n">
        <f aca="false">SUM(AE28,AG28)</f>
        <v>0</v>
      </c>
      <c r="AI28" s="42"/>
      <c r="AJ28" s="43" t="str">
        <f aca="false">IF(AND(S28&gt;=12,Y28&gt;=12,AH28&gt;=6),"да","нет")</f>
        <v>нет</v>
      </c>
      <c r="AK28" s="2"/>
      <c r="AL28" s="2" t="n">
        <v>0</v>
      </c>
      <c r="AM28" s="23" t="n">
        <f aca="false">SUM(S28,Y28,AA28,AB28,AH28,AL28,AK28)</f>
        <v>0</v>
      </c>
      <c r="AN28" s="29" t="str">
        <f aca="false">IF(AND(S28&gt;=12,Y28&gt;=12,AH28&gt;=6,AL28&gt;=24,AM28&gt;=60),"Зачет","Незачет")</f>
        <v>Незачет</v>
      </c>
    </row>
    <row r="29" customFormat="false" ht="15.75" hidden="false" customHeight="false" outlineLevel="0" collapsed="false">
      <c r="A29" s="25" t="n">
        <v>27</v>
      </c>
      <c r="B29" s="170" t="s">
        <v>449</v>
      </c>
      <c r="C29" s="27" t="s">
        <v>127</v>
      </c>
      <c r="D29" s="27" t="n">
        <v>472548</v>
      </c>
      <c r="E29" s="28" t="s">
        <v>45</v>
      </c>
      <c r="F29" s="28" t="s">
        <v>518</v>
      </c>
      <c r="G29" s="28" t="s">
        <v>519</v>
      </c>
      <c r="H29" s="28" t="s">
        <v>519</v>
      </c>
      <c r="I29" s="28" t="s">
        <v>519</v>
      </c>
      <c r="J29" s="28" t="s">
        <v>518</v>
      </c>
      <c r="K29" s="28" t="s">
        <v>519</v>
      </c>
      <c r="L29" s="28" t="s">
        <v>519</v>
      </c>
      <c r="M29" s="29"/>
      <c r="N29" s="29"/>
      <c r="O29" s="29"/>
      <c r="P29" s="30"/>
      <c r="Q29" s="50" t="n">
        <v>3133</v>
      </c>
      <c r="R29" s="36" t="n">
        <f aca="false">I2</f>
        <v>45253</v>
      </c>
      <c r="S29" s="37" t="n">
        <v>18</v>
      </c>
      <c r="T29" s="47"/>
      <c r="U29" s="2" t="n">
        <v>31282</v>
      </c>
      <c r="V29" s="36" t="n">
        <f aca="false">K2</f>
        <v>45281</v>
      </c>
      <c r="W29" s="36" t="n">
        <f aca="false">K2</f>
        <v>45281</v>
      </c>
      <c r="X29" s="36" t="n">
        <f aca="false">L2</f>
        <v>45295</v>
      </c>
      <c r="Y29" s="37" t="n">
        <v>15</v>
      </c>
      <c r="Z29" s="38"/>
      <c r="AA29" s="39"/>
      <c r="AB29" s="39"/>
      <c r="AC29" s="48"/>
      <c r="AD29" s="41" t="n">
        <v>46011</v>
      </c>
      <c r="AE29" s="28" t="n">
        <v>9</v>
      </c>
      <c r="AF29" s="28"/>
      <c r="AG29" s="28"/>
      <c r="AH29" s="37" t="n">
        <f aca="false">SUM(AE29,AG29)</f>
        <v>9</v>
      </c>
      <c r="AI29" s="42"/>
      <c r="AJ29" s="43" t="str">
        <f aca="false">IF(AND(S29&gt;=12,Y29&gt;=12,AH29&gt;=6),"да","нет")</f>
        <v>да</v>
      </c>
      <c r="AK29" s="2"/>
      <c r="AL29" s="2" t="n">
        <v>40</v>
      </c>
      <c r="AM29" s="23" t="n">
        <f aca="false">SUM(S29,Y29,AA29,AB29,AH29,AL29,AK29)</f>
        <v>82</v>
      </c>
      <c r="AN29" s="29" t="str">
        <f aca="false">IF(AND(S29&gt;=12,Y29&gt;=12,AH29&gt;=6,AL29&gt;=24,AM29&gt;=60),"Зачет","Незачет")</f>
        <v>Зачет</v>
      </c>
    </row>
    <row r="30" customFormat="false" ht="15.75" hidden="false" customHeight="false" outlineLevel="0" collapsed="false">
      <c r="A30" s="25" t="n">
        <v>28</v>
      </c>
      <c r="B30" s="171" t="s">
        <v>459</v>
      </c>
      <c r="C30" s="27" t="s">
        <v>127</v>
      </c>
      <c r="D30" s="27" t="n">
        <v>467783</v>
      </c>
      <c r="E30" s="28" t="s">
        <v>45</v>
      </c>
      <c r="F30" s="28" t="s">
        <v>45</v>
      </c>
      <c r="G30" s="28" t="s">
        <v>45</v>
      </c>
      <c r="H30" s="28" t="s">
        <v>519</v>
      </c>
      <c r="I30" s="28" t="s">
        <v>519</v>
      </c>
      <c r="J30" s="28" t="s">
        <v>518</v>
      </c>
      <c r="K30" s="28" t="s">
        <v>519</v>
      </c>
      <c r="L30" s="28" t="s">
        <v>519</v>
      </c>
      <c r="M30" s="29" t="s">
        <v>45</v>
      </c>
      <c r="N30" s="29"/>
      <c r="O30" s="29"/>
      <c r="P30" s="30"/>
      <c r="Q30" s="50" t="n">
        <v>3139</v>
      </c>
      <c r="R30" s="28" t="n">
        <v>23.11</v>
      </c>
      <c r="S30" s="37" t="n">
        <v>19</v>
      </c>
      <c r="T30" s="47"/>
      <c r="U30" s="2" t="n">
        <v>31288</v>
      </c>
      <c r="V30" s="28" t="n">
        <v>4.01</v>
      </c>
      <c r="W30" s="36" t="n">
        <v>45668</v>
      </c>
      <c r="X30" s="36" t="n">
        <v>45668</v>
      </c>
      <c r="Y30" s="37" t="n">
        <v>18</v>
      </c>
      <c r="Z30" s="38"/>
      <c r="AA30" s="39"/>
      <c r="AB30" s="39"/>
      <c r="AC30" s="48"/>
      <c r="AD30" s="41" t="n">
        <v>46011</v>
      </c>
      <c r="AE30" s="28" t="n">
        <v>5</v>
      </c>
      <c r="AF30" s="28"/>
      <c r="AG30" s="28" t="n">
        <v>2</v>
      </c>
      <c r="AH30" s="37" t="n">
        <f aca="false">SUM(AE30,AG30)</f>
        <v>7</v>
      </c>
      <c r="AI30" s="42"/>
      <c r="AJ30" s="43" t="str">
        <f aca="false">IF(AND(S30&gt;=12,Y30&gt;=12,AH30&gt;=6),"да","нет")</f>
        <v>да</v>
      </c>
      <c r="AK30" s="2"/>
      <c r="AL30" s="2" t="n">
        <v>40</v>
      </c>
      <c r="AM30" s="23" t="n">
        <f aca="false">SUM(S30,Y30,AA30,AB30,AH30,AL30,AK30)</f>
        <v>84</v>
      </c>
      <c r="AN30" s="29" t="str">
        <f aca="false">IF(AND(S30&gt;=12,Y30&gt;=12,AH30&gt;=6,AL30&gt;=24,AM30&gt;=60),"Зачет","Незачет")</f>
        <v>Зачет</v>
      </c>
    </row>
    <row r="31" customFormat="false" ht="15.75" hidden="false" customHeight="false" outlineLevel="0" collapsed="false">
      <c r="A31" s="25" t="n">
        <v>29</v>
      </c>
      <c r="B31" s="170" t="s">
        <v>485</v>
      </c>
      <c r="C31" s="27" t="s">
        <v>127</v>
      </c>
      <c r="D31" s="27" t="n">
        <v>407938</v>
      </c>
      <c r="E31" s="28" t="s">
        <v>518</v>
      </c>
      <c r="F31" s="28" t="s">
        <v>518</v>
      </c>
      <c r="G31" s="28" t="s">
        <v>518</v>
      </c>
      <c r="H31" s="28" t="s">
        <v>518</v>
      </c>
      <c r="I31" s="28" t="s">
        <v>518</v>
      </c>
      <c r="J31" s="28" t="s">
        <v>518</v>
      </c>
      <c r="K31" s="28" t="s">
        <v>518</v>
      </c>
      <c r="L31" s="28" t="s">
        <v>518</v>
      </c>
      <c r="M31" s="29"/>
      <c r="N31" s="29"/>
      <c r="O31" s="29"/>
      <c r="P31" s="30"/>
      <c r="Q31" s="50" t="n">
        <v>3153</v>
      </c>
      <c r="R31" s="36"/>
      <c r="S31" s="37"/>
      <c r="T31" s="47"/>
      <c r="U31" s="2"/>
      <c r="V31" s="36"/>
      <c r="W31" s="36"/>
      <c r="X31" s="36"/>
      <c r="Y31" s="37"/>
      <c r="Z31" s="38"/>
      <c r="AA31" s="39"/>
      <c r="AB31" s="39"/>
      <c r="AC31" s="48"/>
      <c r="AD31" s="41" t="n">
        <v>46011</v>
      </c>
      <c r="AE31" s="28" t="n">
        <v>0.01</v>
      </c>
      <c r="AF31" s="28"/>
      <c r="AG31" s="28" t="n">
        <v>0.01</v>
      </c>
      <c r="AH31" s="37" t="n">
        <f aca="false">SUM(AE31,AG31)</f>
        <v>0.02</v>
      </c>
      <c r="AI31" s="42"/>
      <c r="AJ31" s="43" t="str">
        <f aca="false">IF(AND(S31&gt;=12,Y31&gt;=12,AH31&gt;=6),"да","нет")</f>
        <v>нет</v>
      </c>
      <c r="AK31" s="2"/>
      <c r="AL31" s="2" t="n">
        <v>0</v>
      </c>
      <c r="AM31" s="23" t="n">
        <f aca="false">SUM(S31,Y31,AA31,AB31,AH31,AL31,AK31)</f>
        <v>0.02</v>
      </c>
      <c r="AN31" s="29" t="str">
        <f aca="false">IF(AND(S31&gt;=12,Y31&gt;=12,AH31&gt;=6,AL31&gt;=24,AM31&gt;=60),"Зачет","Незачет")</f>
        <v>Незачет</v>
      </c>
    </row>
    <row r="32" customFormat="false" ht="15.75" hidden="false" customHeight="false" outlineLevel="0" collapsed="false">
      <c r="A32" s="25" t="n">
        <v>30</v>
      </c>
      <c r="B32" s="172" t="s">
        <v>517</v>
      </c>
      <c r="C32" s="27" t="s">
        <v>127</v>
      </c>
      <c r="D32" s="2" t="n">
        <v>408578</v>
      </c>
      <c r="E32" s="28" t="s">
        <v>45</v>
      </c>
      <c r="F32" s="28" t="s">
        <v>518</v>
      </c>
      <c r="G32" s="28" t="s">
        <v>518</v>
      </c>
      <c r="H32" s="28" t="s">
        <v>519</v>
      </c>
      <c r="I32" s="28" t="s">
        <v>518</v>
      </c>
      <c r="J32" s="28" t="s">
        <v>519</v>
      </c>
      <c r="K32" s="28" t="s">
        <v>519</v>
      </c>
      <c r="L32" s="28" t="s">
        <v>45</v>
      </c>
      <c r="M32" s="29"/>
      <c r="N32" s="29"/>
      <c r="O32" s="29"/>
      <c r="P32" s="30"/>
      <c r="Q32" s="50" t="n">
        <v>3146</v>
      </c>
      <c r="R32" s="36" t="n">
        <f aca="false">K2</f>
        <v>45281</v>
      </c>
      <c r="S32" s="37" t="n">
        <v>16.5</v>
      </c>
      <c r="T32" s="47"/>
      <c r="U32" s="2" t="n">
        <v>31290</v>
      </c>
      <c r="V32" s="36" t="n">
        <f aca="false">V21</f>
        <v>45295</v>
      </c>
      <c r="W32" s="36" t="n">
        <f aca="false">V32</f>
        <v>45295</v>
      </c>
      <c r="X32" s="36" t="n">
        <f aca="false">W32</f>
        <v>45295</v>
      </c>
      <c r="Y32" s="37" t="n">
        <v>12</v>
      </c>
      <c r="Z32" s="38"/>
      <c r="AA32" s="39"/>
      <c r="AB32" s="39"/>
      <c r="AC32" s="48"/>
      <c r="AD32" s="41" t="n">
        <v>45696</v>
      </c>
      <c r="AE32" s="28" t="n">
        <v>5</v>
      </c>
      <c r="AF32" s="41" t="n">
        <v>45696</v>
      </c>
      <c r="AG32" s="28" t="n">
        <v>1</v>
      </c>
      <c r="AH32" s="37" t="n">
        <f aca="false">SUM(AE32,AG32)</f>
        <v>6</v>
      </c>
      <c r="AI32" s="42"/>
      <c r="AJ32" s="43" t="str">
        <f aca="false">IF(AND(S32&gt;=12,Y32&gt;=12,AH32&gt;=6),"да","нет")</f>
        <v>да</v>
      </c>
      <c r="AK32" s="2" t="n">
        <v>2</v>
      </c>
      <c r="AL32" s="2" t="n">
        <v>24</v>
      </c>
      <c r="AM32" s="23" t="n">
        <f aca="false">SUM(S32,Y32,AA32,AB32,AH32,AL32,AK32)</f>
        <v>60.5</v>
      </c>
      <c r="AN32" s="29" t="str">
        <f aca="false">IF(AND(S32&gt;=12,Y32&gt;=12,AH32&gt;=6,AL32&gt;=24,AM32&gt;=60),"Зачет","Незачет")</f>
        <v>Зачет</v>
      </c>
    </row>
    <row r="33" customFormat="false" ht="15.75" hidden="false" customHeight="false" outlineLevel="0" collapsed="false">
      <c r="A33" s="25"/>
      <c r="B33" s="49"/>
      <c r="C33" s="51"/>
      <c r="D33" s="51"/>
      <c r="E33" s="28"/>
      <c r="F33" s="28"/>
      <c r="G33" s="28"/>
      <c r="H33" s="28"/>
      <c r="I33" s="28"/>
      <c r="J33" s="28"/>
      <c r="K33" s="28"/>
      <c r="L33" s="28"/>
      <c r="M33" s="29"/>
      <c r="N33" s="29"/>
      <c r="O33" s="29"/>
      <c r="P33" s="30"/>
      <c r="Q33" s="50"/>
      <c r="R33" s="36"/>
      <c r="S33" s="37"/>
      <c r="T33" s="47"/>
      <c r="U33" s="2"/>
      <c r="V33" s="36"/>
      <c r="W33" s="36"/>
      <c r="X33" s="36"/>
      <c r="Y33" s="37"/>
      <c r="Z33" s="38"/>
      <c r="AA33" s="39"/>
      <c r="AB33" s="39"/>
      <c r="AC33" s="48"/>
      <c r="AD33" s="28"/>
      <c r="AE33" s="28"/>
      <c r="AF33" s="28"/>
      <c r="AG33" s="28"/>
      <c r="AH33" s="37"/>
      <c r="AI33" s="42"/>
      <c r="AJ33" s="43"/>
      <c r="AK33" s="2"/>
      <c r="AL33" s="2"/>
      <c r="AM33" s="23"/>
      <c r="AN33" s="29"/>
    </row>
    <row r="34" customFormat="false" ht="1.5" hidden="false" customHeight="true" outlineLevel="0" collapsed="false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53"/>
      <c r="AJ34" s="47"/>
      <c r="AK34" s="47"/>
      <c r="AL34" s="47"/>
      <c r="AM34" s="47"/>
      <c r="AN34" s="47"/>
    </row>
    <row r="35" customFormat="false" ht="15.75" hidden="false" customHeight="false" outlineLevel="0" collapsed="false">
      <c r="A35" s="2"/>
      <c r="B35" s="2" t="s">
        <v>26</v>
      </c>
      <c r="C35" s="2"/>
      <c r="D35" s="2"/>
      <c r="E35" s="37" t="n">
        <f aca="false">COUNTIF(E$3:E$23, "~**")</f>
        <v>0</v>
      </c>
      <c r="F35" s="37" t="n">
        <f aca="false">COUNTIF(F$3:F$23, "~**")</f>
        <v>2</v>
      </c>
      <c r="G35" s="37" t="n">
        <f aca="false">COUNTIF(G$3:G$23, "~**")</f>
        <v>4</v>
      </c>
      <c r="H35" s="37" t="n">
        <f aca="false">COUNTIF(H$3:H$23, "~**")</f>
        <v>5</v>
      </c>
      <c r="I35" s="37" t="n">
        <f aca="false">COUNTIF(I$3:I$23, "~**")</f>
        <v>7</v>
      </c>
      <c r="J35" s="37" t="n">
        <f aca="false">COUNTIF(J$3:J$23, "~**")</f>
        <v>7</v>
      </c>
      <c r="K35" s="37" t="n">
        <f aca="false">COUNTIF(K$3:K$23, "~**")</f>
        <v>10</v>
      </c>
      <c r="L35" s="37" t="n">
        <f aca="false">COUNTIF(L$3:L$23, "~**")</f>
        <v>9</v>
      </c>
      <c r="M35" s="54" t="n">
        <f aca="false">COUNTIF(M$3:M$23, "~**")</f>
        <v>0</v>
      </c>
      <c r="N35" s="54" t="n">
        <f aca="false">COUNTIF(N$3:N$23, "~**")</f>
        <v>0</v>
      </c>
      <c r="O35" s="54" t="n">
        <f aca="false">COUNTIF(O$3:O$23, "~**")</f>
        <v>0</v>
      </c>
      <c r="P35" s="55"/>
      <c r="Q35" s="2" t="s">
        <v>27</v>
      </c>
      <c r="R35" s="2"/>
      <c r="S35" s="37" t="n">
        <f aca="false">S36*0.6</f>
        <v>12</v>
      </c>
      <c r="T35" s="55"/>
      <c r="U35" s="37"/>
      <c r="V35" s="37"/>
      <c r="W35" s="37"/>
      <c r="X35" s="37"/>
      <c r="Y35" s="37" t="n">
        <f aca="false">Y36*0.6</f>
        <v>12</v>
      </c>
      <c r="Z35" s="56"/>
      <c r="AA35" s="37" t="n">
        <v>0</v>
      </c>
      <c r="AB35" s="37" t="n">
        <v>0</v>
      </c>
      <c r="AC35" s="57"/>
      <c r="AE35" s="2" t="n">
        <v>3</v>
      </c>
      <c r="AG35" s="2" t="n">
        <v>3</v>
      </c>
      <c r="AH35" s="37" t="n">
        <v>6</v>
      </c>
      <c r="AI35" s="58"/>
      <c r="AJ35" s="59"/>
      <c r="AK35" s="37" t="n">
        <v>0</v>
      </c>
      <c r="AL35" s="37" t="n">
        <v>24</v>
      </c>
      <c r="AM35" s="19" t="n">
        <f aca="false">S35+Y35+AA35+AB35+AH35+AL35</f>
        <v>54</v>
      </c>
      <c r="AN35" s="60"/>
    </row>
    <row r="36" customFormat="false" ht="15.75" hidden="false" customHeight="false" outlineLevel="0" collapsed="false">
      <c r="A36" s="2"/>
      <c r="B36" s="2" t="s">
        <v>28</v>
      </c>
      <c r="C36" s="2"/>
      <c r="D36" s="2"/>
      <c r="E36" s="37" t="n">
        <f aca="false">COUNTIF(E$3:E$23, "~**")+COUNTIF(E$3:E$23, "Y")</f>
        <v>17</v>
      </c>
      <c r="F36" s="37" t="n">
        <f aca="false">COUNTIF(F$3:F$23, "~**")+COUNTIF(F$3:F$23, "Y")</f>
        <v>10</v>
      </c>
      <c r="G36" s="37" t="n">
        <f aca="false">COUNTIF(G$3:G$23, "~**")+COUNTIF(G$3:G$23, "Y")</f>
        <v>10</v>
      </c>
      <c r="H36" s="37" t="n">
        <f aca="false">COUNTIF(H$3:H$23, "~**")+COUNTIF(H$3:H$23, "Y")</f>
        <v>8</v>
      </c>
      <c r="I36" s="37" t="n">
        <f aca="false">COUNTIF(I$3:I$23, "~**")+COUNTIF(I$3:I$23, "Y")</f>
        <v>7</v>
      </c>
      <c r="J36" s="37" t="n">
        <f aca="false">COUNTIF(J$3:J$23, "~**")+COUNTIF(J$3:J$23, "Y")</f>
        <v>15</v>
      </c>
      <c r="K36" s="37" t="n">
        <f aca="false">COUNTIF(K$3:K$23, "~**")+COUNTIF(K$3:K$23, "Y")</f>
        <v>12</v>
      </c>
      <c r="L36" s="37" t="n">
        <f aca="false">COUNTIF(L$3:L$23, "~**")+COUNTIF(L$3:L$23, "Y")</f>
        <v>11</v>
      </c>
      <c r="M36" s="54" t="n">
        <f aca="false">COUNTIF(M$3:M$23, "~**")+COUNTIF(M$3:M$23, "Y")</f>
        <v>6</v>
      </c>
      <c r="N36" s="54" t="n">
        <f aca="false">COUNTIF(N$3:N$23, "~**")+COUNTIF(N$3:N$23, "Y")</f>
        <v>0</v>
      </c>
      <c r="O36" s="54" t="n">
        <f aca="false">COUNTIF(O$3:O$23, "~**")+COUNTIF(O$3:O$23, "Y")</f>
        <v>0</v>
      </c>
      <c r="P36" s="55"/>
      <c r="Q36" s="2" t="s">
        <v>29</v>
      </c>
      <c r="R36" s="2"/>
      <c r="S36" s="37" t="n">
        <v>20</v>
      </c>
      <c r="T36" s="55"/>
      <c r="U36" s="37"/>
      <c r="V36" s="37"/>
      <c r="W36" s="37"/>
      <c r="X36" s="37"/>
      <c r="Y36" s="37" t="n">
        <v>20</v>
      </c>
      <c r="Z36" s="56"/>
      <c r="AA36" s="37" t="n">
        <v>5</v>
      </c>
      <c r="AB36" s="37" t="n">
        <v>5</v>
      </c>
      <c r="AC36" s="57"/>
      <c r="AE36" s="2" t="n">
        <v>5</v>
      </c>
      <c r="AG36" s="2" t="n">
        <v>5</v>
      </c>
      <c r="AH36" s="37" t="n">
        <v>10</v>
      </c>
      <c r="AI36" s="58"/>
      <c r="AJ36" s="59"/>
      <c r="AK36" s="37" t="n">
        <v>3</v>
      </c>
      <c r="AL36" s="37" t="n">
        <v>40</v>
      </c>
      <c r="AM36" s="19" t="n">
        <f aca="false">SUM(S36,Y36,AA36:AB36,AH36,AK36:AL36,)</f>
        <v>103</v>
      </c>
      <c r="AN36" s="60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47"/>
      <c r="Q37" s="2"/>
      <c r="R37" s="2"/>
      <c r="S37" s="61"/>
      <c r="T37" s="62"/>
      <c r="U37" s="61"/>
      <c r="V37" s="61"/>
      <c r="W37" s="61"/>
      <c r="X37" s="61"/>
      <c r="Y37" s="61"/>
      <c r="Z37" s="63"/>
      <c r="AA37" s="2"/>
      <c r="AB37" s="2"/>
      <c r="AC37" s="57"/>
      <c r="AH37" s="61"/>
      <c r="AI37" s="64"/>
      <c r="AJ37" s="65"/>
      <c r="AK37" s="2"/>
      <c r="AL37" s="2"/>
      <c r="AM37" s="66"/>
      <c r="AN37" s="2"/>
    </row>
    <row r="38" customFormat="false" ht="15.75" hidden="false" customHeight="false" outlineLevel="0" collapsed="false">
      <c r="A38" s="2"/>
      <c r="B38" s="2" t="s">
        <v>591</v>
      </c>
      <c r="C38" s="2"/>
      <c r="D38" s="2" t="n">
        <v>486552</v>
      </c>
      <c r="E38" s="37"/>
      <c r="F38" s="37"/>
      <c r="G38" s="37"/>
      <c r="H38" s="37"/>
      <c r="I38" s="37"/>
      <c r="J38" s="37"/>
      <c r="K38" s="37"/>
      <c r="L38" s="37"/>
      <c r="M38" s="54"/>
      <c r="N38" s="54"/>
      <c r="O38" s="54"/>
      <c r="P38" s="55"/>
      <c r="Q38" s="2" t="n">
        <v>12300</v>
      </c>
      <c r="R38" s="2"/>
      <c r="S38" s="61"/>
      <c r="T38" s="62"/>
      <c r="U38" s="61"/>
      <c r="V38" s="61"/>
      <c r="W38" s="61"/>
      <c r="X38" s="61"/>
      <c r="Y38" s="61"/>
      <c r="Z38" s="63"/>
      <c r="AA38" s="2"/>
      <c r="AB38" s="2"/>
      <c r="AC38" s="57"/>
      <c r="AH38" s="61"/>
      <c r="AI38" s="64"/>
      <c r="AJ38" s="65"/>
      <c r="AK38" s="2"/>
      <c r="AL38" s="2"/>
      <c r="AM38" s="66"/>
      <c r="AN38" s="2"/>
    </row>
    <row r="39" customFormat="false" ht="15.75" hidden="false" customHeight="false" outlineLevel="0" collapsed="false">
      <c r="A39" s="2"/>
      <c r="B39" s="2"/>
      <c r="C39" s="2"/>
      <c r="D39" s="2"/>
      <c r="E39" s="2" t="s">
        <v>30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47"/>
      <c r="Q39" s="2" t="s">
        <v>31</v>
      </c>
      <c r="R39" s="2"/>
      <c r="S39" s="61" t="n">
        <f aca="false">IFERROR(COUNTA(S$3:S29)/COUNTA($B$3:$B$29), 0)</f>
        <v>0.8148148148</v>
      </c>
      <c r="T39" s="62"/>
      <c r="U39" s="61"/>
      <c r="V39" s="61"/>
      <c r="W39" s="61"/>
      <c r="X39" s="61"/>
      <c r="Y39" s="61" t="n">
        <f aca="false">IFERROR(COUNTA(Y$3:Y29)/COUNTA($B$3:$B$29), 0)</f>
        <v>0.7407407407</v>
      </c>
      <c r="Z39" s="63"/>
      <c r="AA39" s="2"/>
      <c r="AB39" s="2"/>
      <c r="AC39" s="57"/>
      <c r="AE39" s="61" t="n">
        <f aca="false">IFERROR(COUNTIF(AE$3:AE29, "&gt;0")/COUNTA($B$3:$B$29), 0)</f>
        <v>0.8518518519</v>
      </c>
      <c r="AG39" s="61" t="n">
        <f aca="false">IFERROR(COUNTIF(AG$3:AG29, "&gt;0")/COUNTA($B$3:$B$29), 0)</f>
        <v>0.62962962962963</v>
      </c>
      <c r="AH39" s="61" t="n">
        <f aca="false">IFERROR(COUNTIF(AH$3:AH29, "&gt;0")/COUNTA($B$3:$B$29), 0)</f>
        <v>0.851851851851852</v>
      </c>
      <c r="AI39" s="64"/>
      <c r="AJ39" s="65"/>
      <c r="AK39" s="2"/>
      <c r="AL39" s="61" t="n">
        <f aca="false">IFERROR(COUNTIF(AL$3:AL29, "&gt;24")/COUNTA($B$3:$B$29), 0)</f>
        <v>0.5925925926</v>
      </c>
      <c r="AM39" s="66"/>
      <c r="AN39" s="2"/>
    </row>
    <row r="40" customFormat="false" ht="15.75" hidden="false" customHeight="false" outlineLevel="0" collapsed="false">
      <c r="A40" s="2"/>
      <c r="B40" s="2"/>
      <c r="C40" s="2"/>
      <c r="D40" s="2"/>
      <c r="E40" s="2" t="s">
        <v>32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47"/>
      <c r="Q40" s="2"/>
      <c r="R40" s="2"/>
      <c r="S40" s="2"/>
      <c r="T40" s="47"/>
      <c r="U40" s="2"/>
      <c r="V40" s="2"/>
      <c r="W40" s="2"/>
      <c r="X40" s="2"/>
      <c r="Y40" s="2"/>
      <c r="Z40" s="63"/>
      <c r="AA40" s="2"/>
      <c r="AB40" s="2"/>
      <c r="AC40" s="63"/>
      <c r="AD40" s="2"/>
      <c r="AE40" s="2"/>
      <c r="AF40" s="2"/>
      <c r="AG40" s="2"/>
      <c r="AH40" s="2"/>
      <c r="AI40" s="64"/>
      <c r="AJ40" s="65"/>
      <c r="AK40" s="2"/>
      <c r="AL40" s="2"/>
      <c r="AM40" s="66"/>
      <c r="AN40" s="2"/>
    </row>
    <row r="41" customFormat="false" ht="15.75" hidden="false" customHeight="false" outlineLevel="0" collapsed="false">
      <c r="A41" s="67"/>
      <c r="B41" s="67"/>
      <c r="C41" s="2"/>
      <c r="D41" s="2"/>
      <c r="E41" s="2" t="s">
        <v>33</v>
      </c>
      <c r="F41" s="2"/>
      <c r="G41" s="2"/>
      <c r="H41" s="2"/>
      <c r="I41" s="2"/>
      <c r="J41" s="2"/>
      <c r="K41" s="2"/>
      <c r="L41" s="2" t="s">
        <v>34</v>
      </c>
      <c r="M41" s="2"/>
      <c r="N41" s="2"/>
      <c r="O41" s="2"/>
      <c r="P41" s="47"/>
      <c r="Q41" s="2"/>
      <c r="R41" s="2"/>
      <c r="S41" s="2"/>
      <c r="T41" s="47"/>
      <c r="U41" s="2" t="n">
        <f aca="false">MAX(U3:U32)+1</f>
        <v>32289</v>
      </c>
      <c r="V41" s="2"/>
      <c r="W41" s="2"/>
      <c r="X41" s="2"/>
      <c r="Y41" s="2"/>
      <c r="Z41" s="63"/>
      <c r="AA41" s="2"/>
      <c r="AB41" s="2"/>
      <c r="AC41" s="63"/>
      <c r="AD41" s="2"/>
      <c r="AE41" s="2"/>
      <c r="AF41" s="2"/>
      <c r="AG41" s="2"/>
      <c r="AH41" s="2"/>
      <c r="AI41" s="64"/>
      <c r="AJ41" s="65"/>
      <c r="AK41" s="2"/>
      <c r="AL41" s="2"/>
      <c r="AM41" s="66"/>
      <c r="AN41" s="2"/>
    </row>
    <row r="42" customFormat="false" ht="15.75" hidden="false" customHeight="false" outlineLevel="0" collapsed="false">
      <c r="E42" s="2" t="s">
        <v>35</v>
      </c>
      <c r="P42" s="68"/>
      <c r="T42" s="68"/>
      <c r="Z42" s="57"/>
      <c r="AC42" s="57"/>
      <c r="AI42" s="69"/>
      <c r="AJ42" s="70"/>
      <c r="AM42" s="71"/>
    </row>
    <row r="43" customFormat="false" ht="15.75" hidden="false" customHeight="false" outlineLevel="0" collapsed="false">
      <c r="E43" s="2" t="s">
        <v>36</v>
      </c>
      <c r="P43" s="68"/>
      <c r="T43" s="68"/>
      <c r="Z43" s="57"/>
      <c r="AC43" s="57"/>
      <c r="AI43" s="69"/>
      <c r="AJ43" s="70"/>
      <c r="AM43" s="71"/>
    </row>
    <row r="44" customFormat="false" ht="15.75" hidden="false" customHeight="false" outlineLevel="0" collapsed="false">
      <c r="P44" s="68"/>
      <c r="T44" s="68"/>
      <c r="Z44" s="57"/>
      <c r="AC44" s="57"/>
      <c r="AI44" s="69"/>
      <c r="AJ44" s="70"/>
      <c r="AM44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3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3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33">
    <cfRule type="cellIs" priority="5" operator="equal" aboveAverage="0" equalAverage="0" bottom="0" percent="0" rank="0" text="" dxfId="3">
      <formula>"N"</formula>
    </cfRule>
  </conditionalFormatting>
  <conditionalFormatting sqref="S3:S26 Y3:AB33 AH3:AH33 AK3:AL33 S28:S3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6 S27 R29:R33">
    <cfRule type="expression" priority="7" aboveAverage="0" equalAverage="0" bottom="0" percent="0" rank="0" text="" dxfId="5">
      <formula>R3&gt;45230</formula>
    </cfRule>
  </conditionalFormatting>
  <conditionalFormatting sqref="V3:X33 AC3:AG33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F2" activeCellId="0" sqref="F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40.38"/>
    <col collapsed="false" customWidth="true" hidden="false" outlineLevel="0" max="4" min="3" style="0" width="8"/>
    <col collapsed="false" customWidth="true" hidden="false" outlineLevel="0" max="14" min="5" style="0" width="3.38"/>
    <col collapsed="false" customWidth="true" hidden="false" outlineLevel="0" max="16" min="15" style="0" width="3"/>
    <col collapsed="false" customWidth="true" hidden="false" outlineLevel="0" max="17" min="17" style="0" width="5.75"/>
    <col collapsed="false" customWidth="true" hidden="false" outlineLevel="0" max="18" min="18" style="0" width="5.13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8.38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0" min="30" style="0" width="9.38"/>
    <col collapsed="false" customWidth="true" hidden="false" outlineLevel="0" max="33" min="31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38.25" hidden="false" customHeight="true" outlineLevel="0" collapsed="false">
      <c r="A1" s="1" t="s">
        <v>37</v>
      </c>
      <c r="B1" s="173" t="s">
        <v>592</v>
      </c>
      <c r="C1" s="3" t="s">
        <v>85</v>
      </c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36.75" hidden="false" customHeight="tru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45560</v>
      </c>
      <c r="F2" s="15" t="n">
        <f aca="false">E2+14</f>
        <v>45574</v>
      </c>
      <c r="G2" s="15" t="n">
        <f aca="false">F2+14</f>
        <v>45588</v>
      </c>
      <c r="H2" s="15" t="n">
        <f aca="false">G2+14</f>
        <v>45602</v>
      </c>
      <c r="I2" s="116" t="n">
        <v>14.11</v>
      </c>
      <c r="J2" s="15" t="n">
        <v>45616</v>
      </c>
      <c r="K2" s="15" t="n">
        <f aca="false">J2+14</f>
        <v>45630</v>
      </c>
      <c r="L2" s="15" t="n">
        <f aca="false">K2+14</f>
        <v>45644</v>
      </c>
      <c r="M2" s="16" t="n">
        <v>45640</v>
      </c>
      <c r="N2" s="17" t="n">
        <v>45647</v>
      </c>
      <c r="O2" s="17" t="n">
        <v>45648</v>
      </c>
      <c r="P2" s="18" t="n">
        <v>45675</v>
      </c>
      <c r="Q2" s="19" t="s">
        <v>17</v>
      </c>
      <c r="R2" s="19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6.5" hidden="false" customHeight="true" outlineLevel="0" collapsed="false">
      <c r="A3" s="174" t="n">
        <v>1</v>
      </c>
      <c r="B3" s="175" t="s">
        <v>84</v>
      </c>
      <c r="C3" s="27" t="s">
        <v>85</v>
      </c>
      <c r="D3" s="27" t="n">
        <v>464902</v>
      </c>
      <c r="E3" s="28" t="s">
        <v>540</v>
      </c>
      <c r="F3" s="28" t="s">
        <v>540</v>
      </c>
      <c r="G3" s="28" t="s">
        <v>540</v>
      </c>
      <c r="H3" s="28" t="s">
        <v>540</v>
      </c>
      <c r="I3" s="28" t="s">
        <v>540</v>
      </c>
      <c r="J3" s="28" t="s">
        <v>540</v>
      </c>
      <c r="K3" s="28" t="s">
        <v>540</v>
      </c>
      <c r="L3" s="28" t="s">
        <v>540</v>
      </c>
      <c r="M3" s="29" t="s">
        <v>540</v>
      </c>
      <c r="N3" s="29"/>
      <c r="O3" s="29"/>
      <c r="P3" s="30"/>
      <c r="Q3" s="31" t="n">
        <v>12200</v>
      </c>
      <c r="R3" s="32"/>
      <c r="S3" s="33"/>
      <c r="T3" s="34"/>
      <c r="U3" s="35"/>
      <c r="V3" s="36"/>
      <c r="W3" s="36"/>
      <c r="X3" s="36"/>
      <c r="Y3" s="37"/>
      <c r="Z3" s="38"/>
      <c r="AA3" s="39"/>
      <c r="AB3" s="39"/>
      <c r="AC3" s="40"/>
      <c r="AD3" s="41"/>
      <c r="AE3" s="41"/>
      <c r="AF3" s="41"/>
      <c r="AG3" s="41"/>
      <c r="AH3" s="37" t="n">
        <f aca="false">SUM(AE3,AG3)</f>
        <v>0</v>
      </c>
      <c r="AI3" s="42"/>
      <c r="AJ3" s="43" t="str">
        <f aca="false">IF(AND(S3&gt;=12,Y3&gt;=12,AH3&gt;=6),"да","нет")</f>
        <v>нет</v>
      </c>
      <c r="AK3" s="2"/>
      <c r="AL3" s="2"/>
      <c r="AM3" s="23" t="n">
        <f aca="false">SUM(S3,Y3,AA3,AB3,AH3,AL3,AK3)</f>
        <v>0</v>
      </c>
      <c r="AN3" s="29" t="str">
        <f aca="false">IF(AND(S3&gt;=12,Y3&gt;=12,AH3&gt;=6,AL3&gt;=24,AM3&gt;=60),"Зачет","Незачет")</f>
        <v>Незачет</v>
      </c>
    </row>
    <row r="4" customFormat="false" ht="15.75" hidden="false" customHeight="false" outlineLevel="0" collapsed="false">
      <c r="A4" s="174" t="n">
        <v>2</v>
      </c>
      <c r="B4" s="175" t="s">
        <v>104</v>
      </c>
      <c r="C4" s="27" t="s">
        <v>85</v>
      </c>
      <c r="D4" s="27" t="n">
        <v>465026</v>
      </c>
      <c r="E4" s="28" t="s">
        <v>544</v>
      </c>
      <c r="F4" s="28" t="s">
        <v>544</v>
      </c>
      <c r="G4" s="28" t="s">
        <v>544</v>
      </c>
      <c r="H4" s="28" t="s">
        <v>540</v>
      </c>
      <c r="I4" s="28" t="s">
        <v>540</v>
      </c>
      <c r="J4" s="28" t="s">
        <v>540</v>
      </c>
      <c r="K4" s="28" t="s">
        <v>519</v>
      </c>
      <c r="L4" s="28" t="s">
        <v>544</v>
      </c>
      <c r="M4" s="29" t="s">
        <v>540</v>
      </c>
      <c r="N4" s="29" t="s">
        <v>519</v>
      </c>
      <c r="O4" s="29" t="s">
        <v>519</v>
      </c>
      <c r="P4" s="30"/>
      <c r="Q4" s="31" t="n">
        <v>12201</v>
      </c>
      <c r="R4" s="41" t="n">
        <v>45635</v>
      </c>
      <c r="S4" s="33" t="n">
        <v>18</v>
      </c>
      <c r="T4" s="34"/>
      <c r="U4" s="35" t="n">
        <v>10118</v>
      </c>
      <c r="V4" s="36" t="n">
        <v>45654</v>
      </c>
      <c r="W4" s="36" t="n">
        <v>45647</v>
      </c>
      <c r="X4" s="36" t="n">
        <v>45654</v>
      </c>
      <c r="Y4" s="37" t="n">
        <v>17</v>
      </c>
      <c r="Z4" s="38"/>
      <c r="AA4" s="39"/>
      <c r="AB4" s="39"/>
      <c r="AC4" s="40"/>
      <c r="AD4" s="41" t="n">
        <v>45667</v>
      </c>
      <c r="AE4" s="28" t="n">
        <v>3</v>
      </c>
      <c r="AF4" s="41" t="n">
        <v>45667</v>
      </c>
      <c r="AG4" s="28" t="n">
        <v>3</v>
      </c>
      <c r="AH4" s="37" t="n">
        <f aca="false">SUM(AE4,AG4)</f>
        <v>6</v>
      </c>
      <c r="AI4" s="42"/>
      <c r="AJ4" s="43" t="str">
        <f aca="false">IF(AND(S4&gt;=12,Y4&gt;=12,AH4&gt;=6),"да","нет")</f>
        <v>да</v>
      </c>
      <c r="AK4" s="2"/>
      <c r="AL4" s="2" t="n">
        <v>24</v>
      </c>
      <c r="AM4" s="23" t="n">
        <f aca="false">SUM(S4,Y4,AA4,AB4,AH4,AL4,AK4)</f>
        <v>65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174" t="n">
        <v>3</v>
      </c>
      <c r="B5" s="175" t="s">
        <v>113</v>
      </c>
      <c r="C5" s="27" t="s">
        <v>85</v>
      </c>
      <c r="D5" s="27" t="n">
        <v>407784</v>
      </c>
      <c r="E5" s="28" t="s">
        <v>544</v>
      </c>
      <c r="F5" s="28" t="s">
        <v>519</v>
      </c>
      <c r="G5" s="28" t="s">
        <v>546</v>
      </c>
      <c r="H5" s="28" t="s">
        <v>540</v>
      </c>
      <c r="I5" s="28" t="s">
        <v>540</v>
      </c>
      <c r="J5" s="28" t="s">
        <v>544</v>
      </c>
      <c r="K5" s="28" t="s">
        <v>540</v>
      </c>
      <c r="L5" s="28" t="s">
        <v>540</v>
      </c>
      <c r="M5" s="29" t="s">
        <v>540</v>
      </c>
      <c r="N5" s="29" t="s">
        <v>519</v>
      </c>
      <c r="O5" s="29"/>
      <c r="P5" s="30"/>
      <c r="Q5" s="31" t="n">
        <v>12202</v>
      </c>
      <c r="R5" s="102" t="n">
        <v>45588</v>
      </c>
      <c r="S5" s="33" t="n">
        <v>17</v>
      </c>
      <c r="T5" s="34"/>
      <c r="U5" s="35" t="n">
        <v>394778</v>
      </c>
      <c r="V5" s="36" t="n">
        <v>45691</v>
      </c>
      <c r="W5" s="36" t="n">
        <v>45691</v>
      </c>
      <c r="X5" s="36" t="n">
        <v>45691</v>
      </c>
      <c r="Y5" s="37" t="n">
        <v>14</v>
      </c>
      <c r="Z5" s="38"/>
      <c r="AA5" s="39"/>
      <c r="AB5" s="39"/>
      <c r="AC5" s="44"/>
      <c r="AD5" s="119" t="n">
        <v>45691</v>
      </c>
      <c r="AE5" s="28" t="n">
        <v>3</v>
      </c>
      <c r="AF5" s="119" t="n">
        <v>45691</v>
      </c>
      <c r="AG5" s="28" t="n">
        <v>3</v>
      </c>
      <c r="AH5" s="37" t="n">
        <f aca="false">SUM(AE5,AG5)</f>
        <v>6</v>
      </c>
      <c r="AI5" s="42"/>
      <c r="AJ5" s="43" t="str">
        <f aca="false">IF(AND(S5&gt;=12,Y5&gt;=12,AH5&gt;=6),"да","нет")</f>
        <v>да</v>
      </c>
      <c r="AK5" s="2"/>
      <c r="AL5" s="2" t="n">
        <v>24</v>
      </c>
      <c r="AM5" s="23" t="n">
        <f aca="false">SUM(S5,Y5,AA5,AB5,AH5,AL5,AK5)</f>
        <v>61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174" t="n">
        <v>4</v>
      </c>
      <c r="B6" s="175" t="s">
        <v>133</v>
      </c>
      <c r="C6" s="27" t="s">
        <v>85</v>
      </c>
      <c r="D6" s="27" t="n">
        <v>431831</v>
      </c>
      <c r="E6" s="28" t="s">
        <v>544</v>
      </c>
      <c r="F6" s="28" t="s">
        <v>522</v>
      </c>
      <c r="G6" s="28" t="s">
        <v>519</v>
      </c>
      <c r="H6" s="28" t="s">
        <v>540</v>
      </c>
      <c r="I6" s="28" t="s">
        <v>540</v>
      </c>
      <c r="J6" s="28" t="s">
        <v>544</v>
      </c>
      <c r="K6" s="28" t="s">
        <v>540</v>
      </c>
      <c r="L6" s="28" t="s">
        <v>519</v>
      </c>
      <c r="M6" s="29" t="s">
        <v>519</v>
      </c>
      <c r="N6" s="29" t="s">
        <v>519</v>
      </c>
      <c r="O6" s="29"/>
      <c r="P6" s="30"/>
      <c r="Q6" s="31" t="n">
        <v>12203</v>
      </c>
      <c r="R6" s="39" t="s">
        <v>593</v>
      </c>
      <c r="S6" s="33" t="n">
        <v>19</v>
      </c>
      <c r="T6" s="34"/>
      <c r="U6" s="35" t="n">
        <v>667754</v>
      </c>
      <c r="V6" s="36" t="n">
        <v>45647</v>
      </c>
      <c r="W6" s="36" t="n">
        <v>45644</v>
      </c>
      <c r="X6" s="36" t="n">
        <v>45647</v>
      </c>
      <c r="Y6" s="37" t="n">
        <v>18</v>
      </c>
      <c r="Z6" s="38"/>
      <c r="AA6" s="39"/>
      <c r="AB6" s="39"/>
      <c r="AC6" s="44"/>
      <c r="AD6" s="41" t="n">
        <v>45685</v>
      </c>
      <c r="AE6" s="28" t="n">
        <v>3</v>
      </c>
      <c r="AF6" s="41" t="n">
        <v>45685</v>
      </c>
      <c r="AG6" s="28" t="n">
        <v>3</v>
      </c>
      <c r="AH6" s="37" t="n">
        <f aca="false">SUM(AE6,AG6)</f>
        <v>6</v>
      </c>
      <c r="AI6" s="42"/>
      <c r="AJ6" s="43" t="str">
        <f aca="false">IF(AND(S6&gt;=12,Y6&gt;=12,AH6&gt;=6),"да","нет")</f>
        <v>да</v>
      </c>
      <c r="AK6" s="2"/>
      <c r="AL6" s="2" t="n">
        <v>29</v>
      </c>
      <c r="AM6" s="23" t="n">
        <f aca="false">SUM(S6,Y6,AA6,AB6,AH6,AL6,AK6)</f>
        <v>72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174" t="n">
        <v>5</v>
      </c>
      <c r="B7" s="175" t="s">
        <v>163</v>
      </c>
      <c r="C7" s="27" t="s">
        <v>85</v>
      </c>
      <c r="D7" s="27" t="n">
        <v>465601</v>
      </c>
      <c r="E7" s="28" t="s">
        <v>544</v>
      </c>
      <c r="F7" s="28" t="s">
        <v>540</v>
      </c>
      <c r="G7" s="28" t="s">
        <v>544</v>
      </c>
      <c r="H7" s="28" t="s">
        <v>540</v>
      </c>
      <c r="I7" s="28" t="s">
        <v>519</v>
      </c>
      <c r="J7" s="28" t="s">
        <v>540</v>
      </c>
      <c r="K7" s="28" t="s">
        <v>540</v>
      </c>
      <c r="L7" s="28" t="s">
        <v>522</v>
      </c>
      <c r="M7" s="29" t="s">
        <v>519</v>
      </c>
      <c r="N7" s="29"/>
      <c r="O7" s="29"/>
      <c r="P7" s="30"/>
      <c r="Q7" s="31" t="n">
        <v>12204</v>
      </c>
      <c r="R7" s="36" t="n">
        <v>45644</v>
      </c>
      <c r="S7" s="33" t="n">
        <v>18</v>
      </c>
      <c r="T7" s="34"/>
      <c r="U7" s="35" t="n">
        <v>999111</v>
      </c>
      <c r="V7" s="36" t="n">
        <v>45677</v>
      </c>
      <c r="W7" s="36" t="n">
        <v>45696</v>
      </c>
      <c r="X7" s="36" t="n">
        <v>45696</v>
      </c>
      <c r="Y7" s="37" t="n">
        <v>15</v>
      </c>
      <c r="Z7" s="38"/>
      <c r="AA7" s="39"/>
      <c r="AB7" s="39"/>
      <c r="AC7" s="40"/>
      <c r="AD7" s="41" t="n">
        <v>45703</v>
      </c>
      <c r="AE7" s="28" t="n">
        <v>3</v>
      </c>
      <c r="AF7" s="41" t="n">
        <v>45703</v>
      </c>
      <c r="AG7" s="28" t="n">
        <v>3</v>
      </c>
      <c r="AH7" s="37" t="n">
        <f aca="false">SUM(AE7,AG7)</f>
        <v>6</v>
      </c>
      <c r="AI7" s="42"/>
      <c r="AJ7" s="43" t="str">
        <f aca="false">IF(AND(S7&gt;=12,Y7&gt;=12,AH7&gt;=6),"да","нет")</f>
        <v>да</v>
      </c>
      <c r="AK7" s="2"/>
      <c r="AL7" s="2" t="n">
        <v>24</v>
      </c>
      <c r="AM7" s="23" t="n">
        <f aca="false">SUM(S7,Y7,AA7,AB7,AH7,AL7,AK7)</f>
        <v>63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174" t="n">
        <v>6</v>
      </c>
      <c r="B8" s="175" t="s">
        <v>164</v>
      </c>
      <c r="C8" s="27" t="s">
        <v>85</v>
      </c>
      <c r="D8" s="27" t="n">
        <v>465602</v>
      </c>
      <c r="E8" s="28" t="s">
        <v>544</v>
      </c>
      <c r="F8" s="28" t="s">
        <v>544</v>
      </c>
      <c r="G8" s="28" t="s">
        <v>544</v>
      </c>
      <c r="H8" s="28" t="s">
        <v>540</v>
      </c>
      <c r="I8" s="28" t="s">
        <v>519</v>
      </c>
      <c r="J8" s="28" t="s">
        <v>544</v>
      </c>
      <c r="K8" s="28" t="s">
        <v>540</v>
      </c>
      <c r="L8" s="28" t="s">
        <v>540</v>
      </c>
      <c r="M8" s="29" t="s">
        <v>540</v>
      </c>
      <c r="N8" s="29" t="s">
        <v>519</v>
      </c>
      <c r="O8" s="29" t="s">
        <v>519</v>
      </c>
      <c r="P8" s="30" t="s">
        <v>519</v>
      </c>
      <c r="Q8" s="31" t="n">
        <v>12205</v>
      </c>
      <c r="R8" s="102" t="n">
        <v>45610</v>
      </c>
      <c r="S8" s="33" t="n">
        <v>17</v>
      </c>
      <c r="T8" s="34"/>
      <c r="U8" s="35" t="n">
        <v>14876</v>
      </c>
      <c r="V8" s="36" t="n">
        <v>45648</v>
      </c>
      <c r="W8" s="36" t="n">
        <v>45647</v>
      </c>
      <c r="X8" s="36" t="n">
        <v>45675</v>
      </c>
      <c r="Y8" s="37" t="n">
        <v>16</v>
      </c>
      <c r="Z8" s="38"/>
      <c r="AA8" s="39"/>
      <c r="AB8" s="39"/>
      <c r="AC8" s="40"/>
      <c r="AD8" s="41" t="n">
        <v>45685</v>
      </c>
      <c r="AE8" s="28" t="n">
        <v>3</v>
      </c>
      <c r="AF8" s="41" t="n">
        <v>45685</v>
      </c>
      <c r="AG8" s="28" t="n">
        <v>3</v>
      </c>
      <c r="AH8" s="37" t="n">
        <f aca="false">SUM(AE8,AG8)</f>
        <v>6</v>
      </c>
      <c r="AI8" s="42"/>
      <c r="AJ8" s="43" t="str">
        <f aca="false">IF(AND(S8&gt;=12,Y8&gt;=12,AH8&gt;=6),"да","нет")</f>
        <v>да</v>
      </c>
      <c r="AK8" s="2"/>
      <c r="AL8" s="2" t="n">
        <v>24</v>
      </c>
      <c r="AM8" s="23" t="n">
        <f aca="false">SUM(S8,Y8,AA8,AB8,AH8,AL8,AK8)</f>
        <v>63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174" t="n">
        <v>7</v>
      </c>
      <c r="B9" s="175" t="s">
        <v>165</v>
      </c>
      <c r="C9" s="27" t="s">
        <v>85</v>
      </c>
      <c r="D9" s="27" t="n">
        <v>471855</v>
      </c>
      <c r="E9" s="28" t="s">
        <v>544</v>
      </c>
      <c r="F9" s="28" t="s">
        <v>519</v>
      </c>
      <c r="G9" s="28" t="s">
        <v>519</v>
      </c>
      <c r="H9" s="28" t="s">
        <v>544</v>
      </c>
      <c r="I9" s="28" t="s">
        <v>519</v>
      </c>
      <c r="J9" s="28" t="s">
        <v>544</v>
      </c>
      <c r="K9" s="28" t="s">
        <v>540</v>
      </c>
      <c r="L9" s="28" t="s">
        <v>519</v>
      </c>
      <c r="M9" s="29" t="s">
        <v>544</v>
      </c>
      <c r="N9" s="29" t="s">
        <v>519</v>
      </c>
      <c r="O9" s="29" t="s">
        <v>519</v>
      </c>
      <c r="P9" s="30"/>
      <c r="Q9" s="31" t="n">
        <v>12206</v>
      </c>
      <c r="R9" s="102" t="n">
        <v>45610</v>
      </c>
      <c r="S9" s="33" t="n">
        <v>17</v>
      </c>
      <c r="T9" s="34"/>
      <c r="U9" s="35" t="n">
        <v>15779</v>
      </c>
      <c r="V9" s="36" t="n">
        <v>45647</v>
      </c>
      <c r="W9" s="36" t="n">
        <v>45644</v>
      </c>
      <c r="X9" s="36" t="n">
        <v>45654</v>
      </c>
      <c r="Y9" s="37" t="n">
        <v>16</v>
      </c>
      <c r="Z9" s="38"/>
      <c r="AA9" s="39"/>
      <c r="AB9" s="39"/>
      <c r="AC9" s="44"/>
      <c r="AD9" s="41" t="n">
        <v>45667</v>
      </c>
      <c r="AE9" s="28" t="n">
        <v>3</v>
      </c>
      <c r="AF9" s="41" t="n">
        <v>45667</v>
      </c>
      <c r="AG9" s="28" t="n">
        <v>3</v>
      </c>
      <c r="AH9" s="37" t="n">
        <f aca="false">SUM(AE9,AG9)</f>
        <v>6</v>
      </c>
      <c r="AI9" s="42"/>
      <c r="AJ9" s="43" t="str">
        <f aca="false">IF(AND(S9&gt;=12,Y9&gt;=12,AH9&gt;=6),"да","нет")</f>
        <v>да</v>
      </c>
      <c r="AK9" s="2"/>
      <c r="AL9" s="2" t="n">
        <v>28</v>
      </c>
      <c r="AM9" s="23" t="n">
        <f aca="false">SUM(S9,Y9,AA9,AB9,AH9,AL9,AK9)</f>
        <v>67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174" t="n">
        <v>8</v>
      </c>
      <c r="B10" s="175" t="s">
        <v>168</v>
      </c>
      <c r="C10" s="27" t="s">
        <v>85</v>
      </c>
      <c r="D10" s="27" t="n">
        <v>435169</v>
      </c>
      <c r="E10" s="28" t="s">
        <v>544</v>
      </c>
      <c r="F10" s="28" t="s">
        <v>522</v>
      </c>
      <c r="G10" s="28" t="s">
        <v>544</v>
      </c>
      <c r="H10" s="28" t="s">
        <v>544</v>
      </c>
      <c r="I10" s="28" t="s">
        <v>540</v>
      </c>
      <c r="J10" s="28" t="s">
        <v>544</v>
      </c>
      <c r="K10" s="28" t="s">
        <v>540</v>
      </c>
      <c r="L10" s="28" t="s">
        <v>519</v>
      </c>
      <c r="M10" s="29" t="s">
        <v>519</v>
      </c>
      <c r="N10" s="29" t="s">
        <v>519</v>
      </c>
      <c r="O10" s="29" t="s">
        <v>519</v>
      </c>
      <c r="P10" s="30"/>
      <c r="Q10" s="31" t="n">
        <v>12207</v>
      </c>
      <c r="R10" s="39" t="s">
        <v>593</v>
      </c>
      <c r="S10" s="33" t="n">
        <v>18</v>
      </c>
      <c r="T10" s="34"/>
      <c r="U10" s="35" t="n">
        <v>998987</v>
      </c>
      <c r="V10" s="36" t="n">
        <v>45647</v>
      </c>
      <c r="W10" s="36" t="n">
        <v>45644</v>
      </c>
      <c r="X10" s="36" t="n">
        <v>45648</v>
      </c>
      <c r="Y10" s="37" t="n">
        <v>17</v>
      </c>
      <c r="Z10" s="38"/>
      <c r="AA10" s="39"/>
      <c r="AB10" s="39"/>
      <c r="AC10" s="40"/>
      <c r="AD10" s="41" t="n">
        <v>45667</v>
      </c>
      <c r="AE10" s="28" t="n">
        <v>3</v>
      </c>
      <c r="AF10" s="41" t="n">
        <v>45667</v>
      </c>
      <c r="AG10" s="28" t="n">
        <v>3</v>
      </c>
      <c r="AH10" s="37" t="n">
        <f aca="false">SUM(AE10,AG10)</f>
        <v>6</v>
      </c>
      <c r="AI10" s="42"/>
      <c r="AJ10" s="43" t="str">
        <f aca="false">IF(AND(S10&gt;=12,Y10&gt;=12,AH10&gt;=6),"да","нет")</f>
        <v>да</v>
      </c>
      <c r="AK10" s="2"/>
      <c r="AL10" s="2" t="n">
        <v>38</v>
      </c>
      <c r="AM10" s="23" t="n">
        <f aca="false">SUM(S10,Y10,AA10,AB10,AH10,AL10,AK10)</f>
        <v>79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174" t="n">
        <v>9</v>
      </c>
      <c r="B11" s="175" t="s">
        <v>169</v>
      </c>
      <c r="C11" s="27" t="s">
        <v>85</v>
      </c>
      <c r="D11" s="27" t="n">
        <v>465676</v>
      </c>
      <c r="E11" s="28" t="s">
        <v>544</v>
      </c>
      <c r="F11" s="28" t="s">
        <v>522</v>
      </c>
      <c r="G11" s="28" t="s">
        <v>544</v>
      </c>
      <c r="H11" s="28" t="s">
        <v>544</v>
      </c>
      <c r="I11" s="28" t="s">
        <v>540</v>
      </c>
      <c r="J11" s="28" t="s">
        <v>544</v>
      </c>
      <c r="K11" s="28" t="s">
        <v>540</v>
      </c>
      <c r="L11" s="28" t="s">
        <v>522</v>
      </c>
      <c r="M11" s="29" t="s">
        <v>519</v>
      </c>
      <c r="N11" s="29"/>
      <c r="O11" s="29"/>
      <c r="P11" s="30"/>
      <c r="Q11" s="31" t="n">
        <v>12208</v>
      </c>
      <c r="R11" s="39" t="s">
        <v>593</v>
      </c>
      <c r="S11" s="33" t="n">
        <v>19</v>
      </c>
      <c r="T11" s="34"/>
      <c r="U11" s="35" t="n">
        <v>76998</v>
      </c>
      <c r="V11" s="36" t="n">
        <v>45644</v>
      </c>
      <c r="W11" s="36" t="n">
        <v>45640</v>
      </c>
      <c r="X11" s="36" t="n">
        <v>45644</v>
      </c>
      <c r="Y11" s="37" t="n">
        <v>17</v>
      </c>
      <c r="Z11" s="38"/>
      <c r="AA11" s="39"/>
      <c r="AB11" s="39"/>
      <c r="AC11" s="40"/>
      <c r="AD11" s="41" t="n">
        <v>45685</v>
      </c>
      <c r="AE11" s="28" t="n">
        <v>3</v>
      </c>
      <c r="AF11" s="41" t="n">
        <v>45685</v>
      </c>
      <c r="AG11" s="28" t="n">
        <v>3</v>
      </c>
      <c r="AH11" s="37" t="n">
        <f aca="false">SUM(AE11,AG11)</f>
        <v>6</v>
      </c>
      <c r="AI11" s="42"/>
      <c r="AJ11" s="43" t="str">
        <f aca="false">IF(AND(S11&gt;=12,Y11&gt;=12,AH11&gt;=6),"да","нет")</f>
        <v>да</v>
      </c>
      <c r="AK11" s="2"/>
      <c r="AL11" s="2" t="n">
        <v>35</v>
      </c>
      <c r="AM11" s="23" t="n">
        <f aca="false">SUM(S11,Y11,AA11,AB11,AH11,AL11,AK11)</f>
        <v>77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174" t="n">
        <v>10</v>
      </c>
      <c r="B12" s="175" t="s">
        <v>173</v>
      </c>
      <c r="C12" s="27" t="s">
        <v>85</v>
      </c>
      <c r="D12" s="27" t="n">
        <v>465727</v>
      </c>
      <c r="E12" s="28" t="s">
        <v>544</v>
      </c>
      <c r="F12" s="28" t="s">
        <v>544</v>
      </c>
      <c r="G12" s="28" t="s">
        <v>544</v>
      </c>
      <c r="H12" s="28" t="s">
        <v>540</v>
      </c>
      <c r="I12" s="28" t="s">
        <v>540</v>
      </c>
      <c r="J12" s="28" t="s">
        <v>540</v>
      </c>
      <c r="K12" s="28" t="s">
        <v>540</v>
      </c>
      <c r="L12" s="28" t="s">
        <v>540</v>
      </c>
      <c r="M12" s="29" t="s">
        <v>544</v>
      </c>
      <c r="N12" s="29" t="s">
        <v>519</v>
      </c>
      <c r="O12" s="29"/>
      <c r="P12" s="30"/>
      <c r="Q12" s="31" t="n">
        <v>12209</v>
      </c>
      <c r="R12" s="41" t="n">
        <v>45647</v>
      </c>
      <c r="S12" s="33" t="n">
        <v>12</v>
      </c>
      <c r="T12" s="34"/>
      <c r="U12" s="35" t="n">
        <v>1224</v>
      </c>
      <c r="V12" s="36" t="n">
        <v>45691</v>
      </c>
      <c r="W12" s="77" t="n">
        <v>45691</v>
      </c>
      <c r="X12" s="77" t="n">
        <v>45691</v>
      </c>
      <c r="Y12" s="37" t="n">
        <v>14</v>
      </c>
      <c r="Z12" s="38"/>
      <c r="AA12" s="39"/>
      <c r="AB12" s="39"/>
      <c r="AC12" s="40"/>
      <c r="AD12" s="41" t="n">
        <v>45685</v>
      </c>
      <c r="AE12" s="28" t="n">
        <v>3</v>
      </c>
      <c r="AF12" s="41" t="n">
        <v>45685</v>
      </c>
      <c r="AG12" s="28" t="n">
        <v>3</v>
      </c>
      <c r="AH12" s="37" t="n">
        <f aca="false">SUM(AE12,AG12)</f>
        <v>6</v>
      </c>
      <c r="AI12" s="42"/>
      <c r="AJ12" s="43" t="str">
        <f aca="false">IF(AND(S12&gt;=12,Y12&gt;=12,AH12&gt;=6),"да","нет")</f>
        <v>да</v>
      </c>
      <c r="AK12" s="2"/>
      <c r="AL12" s="2" t="n">
        <v>28</v>
      </c>
      <c r="AM12" s="23" t="n">
        <f aca="false">SUM(S12,Y12,AA12,AB12,AH12,AL12,AK12)</f>
        <v>60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174" t="n">
        <v>11</v>
      </c>
      <c r="B13" s="175" t="s">
        <v>179</v>
      </c>
      <c r="C13" s="27" t="s">
        <v>85</v>
      </c>
      <c r="D13" s="27" t="n">
        <v>408023</v>
      </c>
      <c r="E13" s="28" t="s">
        <v>540</v>
      </c>
      <c r="F13" s="28" t="s">
        <v>544</v>
      </c>
      <c r="G13" s="28" t="s">
        <v>544</v>
      </c>
      <c r="H13" s="28" t="s">
        <v>540</v>
      </c>
      <c r="I13" s="28" t="s">
        <v>540</v>
      </c>
      <c r="J13" s="28" t="s">
        <v>540</v>
      </c>
      <c r="K13" s="28" t="s">
        <v>540</v>
      </c>
      <c r="L13" s="28" t="s">
        <v>519</v>
      </c>
      <c r="M13" s="29" t="s">
        <v>544</v>
      </c>
      <c r="N13" s="29" t="s">
        <v>519</v>
      </c>
      <c r="O13" s="29"/>
      <c r="P13" s="30"/>
      <c r="Q13" s="31" t="n">
        <v>12210</v>
      </c>
      <c r="R13" s="41" t="n">
        <v>45647</v>
      </c>
      <c r="S13" s="33" t="n">
        <v>14</v>
      </c>
      <c r="T13" s="34"/>
      <c r="U13" s="35" t="n">
        <v>1788</v>
      </c>
      <c r="V13" s="36" t="n">
        <v>45696</v>
      </c>
      <c r="W13" s="36" t="n">
        <v>45691</v>
      </c>
      <c r="X13" s="36" t="n">
        <v>45696</v>
      </c>
      <c r="Y13" s="37" t="n">
        <v>12</v>
      </c>
      <c r="Z13" s="38"/>
      <c r="AA13" s="39"/>
      <c r="AB13" s="39"/>
      <c r="AC13" s="40"/>
      <c r="AD13" s="41" t="n">
        <v>45685</v>
      </c>
      <c r="AE13" s="28" t="n">
        <v>3</v>
      </c>
      <c r="AF13" s="41" t="n">
        <v>45685</v>
      </c>
      <c r="AG13" s="28" t="n">
        <v>3</v>
      </c>
      <c r="AH13" s="37" t="n">
        <f aca="false">SUM(AE13,AG13)</f>
        <v>6</v>
      </c>
      <c r="AI13" s="42"/>
      <c r="AJ13" s="43" t="str">
        <f aca="false">IF(AND(S13&gt;=12,Y13&gt;=12,AH13&gt;=6),"да","нет")</f>
        <v>да</v>
      </c>
      <c r="AK13" s="2"/>
      <c r="AL13" s="2" t="n">
        <v>28</v>
      </c>
      <c r="AM13" s="23" t="n">
        <f aca="false">SUM(S13,Y13,AA13,AB13,AH13,AL13,AK13)</f>
        <v>60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174" t="n">
        <v>12</v>
      </c>
      <c r="B14" s="175" t="s">
        <v>197</v>
      </c>
      <c r="C14" s="27" t="s">
        <v>85</v>
      </c>
      <c r="D14" s="27" t="n">
        <v>381731</v>
      </c>
      <c r="E14" s="28" t="s">
        <v>544</v>
      </c>
      <c r="F14" s="28" t="s">
        <v>519</v>
      </c>
      <c r="G14" s="28" t="s">
        <v>519</v>
      </c>
      <c r="H14" s="28" t="s">
        <v>540</v>
      </c>
      <c r="I14" s="28" t="s">
        <v>540</v>
      </c>
      <c r="J14" s="28" t="s">
        <v>519</v>
      </c>
      <c r="K14" s="28" t="s">
        <v>540</v>
      </c>
      <c r="L14" s="28" t="s">
        <v>519</v>
      </c>
      <c r="M14" s="29" t="s">
        <v>519</v>
      </c>
      <c r="N14" s="29"/>
      <c r="O14" s="29"/>
      <c r="P14" s="30"/>
      <c r="Q14" s="31" t="n">
        <v>12211</v>
      </c>
      <c r="R14" s="102" t="n">
        <v>45616</v>
      </c>
      <c r="S14" s="33" t="n">
        <v>18</v>
      </c>
      <c r="T14" s="34"/>
      <c r="U14" s="35" t="n">
        <v>16874</v>
      </c>
      <c r="V14" s="36" t="n">
        <v>45640</v>
      </c>
      <c r="W14" s="36" t="n">
        <v>45644</v>
      </c>
      <c r="X14" s="36" t="n">
        <v>45644</v>
      </c>
      <c r="Y14" s="37" t="n">
        <v>18</v>
      </c>
      <c r="Z14" s="38"/>
      <c r="AA14" s="39"/>
      <c r="AB14" s="39"/>
      <c r="AC14" s="40"/>
      <c r="AD14" s="119" t="n">
        <v>45667</v>
      </c>
      <c r="AE14" s="28" t="n">
        <v>3</v>
      </c>
      <c r="AF14" s="41" t="n">
        <v>45667</v>
      </c>
      <c r="AG14" s="28" t="n">
        <v>3</v>
      </c>
      <c r="AH14" s="37" t="n">
        <f aca="false">SUM(AE14,AG14)</f>
        <v>6</v>
      </c>
      <c r="AI14" s="42"/>
      <c r="AJ14" s="43" t="str">
        <f aca="false">IF(AND(S14&gt;=12,Y14&gt;=12,AH14&gt;=6),"да","нет")</f>
        <v>да</v>
      </c>
      <c r="AK14" s="2"/>
      <c r="AL14" s="2" t="n">
        <v>28</v>
      </c>
      <c r="AM14" s="23" t="n">
        <f aca="false">SUM(S14,Y14,AA14,AB14,AH14,AL14,AK14)</f>
        <v>70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176" t="n">
        <v>13</v>
      </c>
      <c r="B15" s="177" t="s">
        <v>212</v>
      </c>
      <c r="C15" s="178" t="s">
        <v>85</v>
      </c>
      <c r="D15" s="178" t="n">
        <v>407795</v>
      </c>
      <c r="E15" s="179" t="s">
        <v>544</v>
      </c>
      <c r="F15" s="179" t="s">
        <v>544</v>
      </c>
      <c r="G15" s="179" t="s">
        <v>540</v>
      </c>
      <c r="H15" s="179" t="s">
        <v>540</v>
      </c>
      <c r="I15" s="179" t="s">
        <v>540</v>
      </c>
      <c r="J15" s="179" t="s">
        <v>540</v>
      </c>
      <c r="K15" s="179" t="s">
        <v>540</v>
      </c>
      <c r="L15" s="179" t="s">
        <v>540</v>
      </c>
      <c r="M15" s="179" t="s">
        <v>540</v>
      </c>
      <c r="N15" s="179"/>
      <c r="O15" s="179"/>
      <c r="P15" s="179"/>
      <c r="Q15" s="180" t="n">
        <v>12212</v>
      </c>
      <c r="R15" s="181"/>
      <c r="S15" s="182"/>
      <c r="T15" s="183"/>
      <c r="U15" s="183"/>
      <c r="V15" s="184"/>
      <c r="W15" s="184"/>
      <c r="X15" s="184"/>
      <c r="Y15" s="185"/>
      <c r="Z15" s="186"/>
      <c r="AA15" s="186"/>
      <c r="AB15" s="186"/>
      <c r="AC15" s="187"/>
      <c r="AD15" s="187"/>
      <c r="AE15" s="187"/>
      <c r="AF15" s="187"/>
      <c r="AG15" s="187"/>
      <c r="AH15" s="185" t="n">
        <f aca="false">SUM(AE15,AG15)</f>
        <v>0</v>
      </c>
      <c r="AI15" s="188"/>
      <c r="AJ15" s="189" t="str">
        <f aca="false">IF(AND(S15&gt;=12,Y15&gt;=12,AH15&gt;=6),"да","нет")</f>
        <v>нет</v>
      </c>
      <c r="AK15" s="190"/>
      <c r="AL15" s="185"/>
      <c r="AM15" s="191" t="n">
        <f aca="false">SUM(S15,Y15,AA15,AB15,AH15,AL15,AK15)</f>
        <v>0</v>
      </c>
      <c r="AN15" s="179" t="str">
        <f aca="false">IF(AND(S15&gt;=12,Y15&gt;=12,AH15&gt;=6,AL15&gt;=24,AM15&gt;=60),"Зачет","Незачет")</f>
        <v>Незачет</v>
      </c>
    </row>
    <row r="16" customFormat="false" ht="15.75" hidden="false" customHeight="false" outlineLevel="0" collapsed="false">
      <c r="A16" s="174" t="n">
        <v>14</v>
      </c>
      <c r="B16" s="175" t="s">
        <v>230</v>
      </c>
      <c r="C16" s="27" t="s">
        <v>85</v>
      </c>
      <c r="D16" s="27" t="n">
        <v>466197</v>
      </c>
      <c r="E16" s="28" t="s">
        <v>544</v>
      </c>
      <c r="F16" s="28" t="s">
        <v>544</v>
      </c>
      <c r="G16" s="28" t="s">
        <v>544</v>
      </c>
      <c r="H16" s="28" t="s">
        <v>540</v>
      </c>
      <c r="I16" s="28" t="s">
        <v>540</v>
      </c>
      <c r="J16" s="28" t="s">
        <v>519</v>
      </c>
      <c r="K16" s="28" t="s">
        <v>540</v>
      </c>
      <c r="L16" s="28" t="s">
        <v>544</v>
      </c>
      <c r="M16" s="29" t="s">
        <v>540</v>
      </c>
      <c r="N16" s="29"/>
      <c r="O16" s="29" t="s">
        <v>519</v>
      </c>
      <c r="P16" s="30" t="s">
        <v>519</v>
      </c>
      <c r="Q16" s="31" t="n">
        <v>12213</v>
      </c>
      <c r="R16" s="102" t="n">
        <v>45616</v>
      </c>
      <c r="S16" s="33" t="n">
        <v>17</v>
      </c>
      <c r="T16" s="34"/>
      <c r="U16" s="35" t="n">
        <v>105887</v>
      </c>
      <c r="V16" s="36" t="n">
        <v>45675</v>
      </c>
      <c r="W16" s="36" t="n">
        <v>45648</v>
      </c>
      <c r="X16" s="36" t="n">
        <v>45648</v>
      </c>
      <c r="Y16" s="37" t="n">
        <v>16</v>
      </c>
      <c r="Z16" s="38"/>
      <c r="AA16" s="39"/>
      <c r="AB16" s="39"/>
      <c r="AC16" s="40"/>
      <c r="AD16" s="119" t="n">
        <v>45667</v>
      </c>
      <c r="AE16" s="28" t="n">
        <v>3</v>
      </c>
      <c r="AF16" s="41" t="n">
        <v>45667</v>
      </c>
      <c r="AG16" s="28" t="n">
        <v>3</v>
      </c>
      <c r="AH16" s="37" t="n">
        <f aca="false">SUM(AE16,AG16)</f>
        <v>6</v>
      </c>
      <c r="AI16" s="42"/>
      <c r="AJ16" s="43" t="str">
        <f aca="false">IF(AND(S16&gt;=12,Y16&gt;=12,AH16&gt;=6),"да","нет")</f>
        <v>да</v>
      </c>
      <c r="AK16" s="2"/>
      <c r="AL16" s="2" t="n">
        <v>35</v>
      </c>
      <c r="AM16" s="23" t="n">
        <f aca="false">SUM(S16,Y16,AA16,AB16,AH16,AL16,AK16)</f>
        <v>74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174" t="n">
        <v>15</v>
      </c>
      <c r="B17" s="175" t="s">
        <v>241</v>
      </c>
      <c r="C17" s="27" t="s">
        <v>85</v>
      </c>
      <c r="D17" s="27" t="n">
        <v>466298</v>
      </c>
      <c r="E17" s="28" t="s">
        <v>544</v>
      </c>
      <c r="F17" s="28" t="s">
        <v>544</v>
      </c>
      <c r="G17" s="28" t="s">
        <v>546</v>
      </c>
      <c r="H17" s="28" t="s">
        <v>544</v>
      </c>
      <c r="I17" s="28" t="s">
        <v>519</v>
      </c>
      <c r="J17" s="28" t="s">
        <v>544</v>
      </c>
      <c r="K17" s="28" t="s">
        <v>594</v>
      </c>
      <c r="L17" s="28" t="s">
        <v>519</v>
      </c>
      <c r="M17" s="29" t="s">
        <v>519</v>
      </c>
      <c r="N17" s="29" t="s">
        <v>519</v>
      </c>
      <c r="O17" s="29"/>
      <c r="P17" s="30"/>
      <c r="Q17" s="31" t="n">
        <v>12214</v>
      </c>
      <c r="R17" s="102" t="n">
        <v>45610</v>
      </c>
      <c r="S17" s="33" t="n">
        <v>18</v>
      </c>
      <c r="T17" s="34"/>
      <c r="U17" s="35" t="n">
        <v>19888</v>
      </c>
      <c r="V17" s="36" t="n">
        <v>45647</v>
      </c>
      <c r="W17" s="36" t="n">
        <v>45644</v>
      </c>
      <c r="X17" s="36" t="n">
        <v>45654</v>
      </c>
      <c r="Y17" s="37" t="n">
        <v>17</v>
      </c>
      <c r="Z17" s="38"/>
      <c r="AA17" s="39"/>
      <c r="AB17" s="39"/>
      <c r="AC17" s="44"/>
      <c r="AD17" s="41" t="n">
        <v>45647</v>
      </c>
      <c r="AE17" s="28" t="n">
        <v>3</v>
      </c>
      <c r="AF17" s="41" t="n">
        <v>45647</v>
      </c>
      <c r="AG17" s="28" t="n">
        <v>3</v>
      </c>
      <c r="AH17" s="37" t="n">
        <f aca="false">SUM(AE17,AG17)</f>
        <v>6</v>
      </c>
      <c r="AI17" s="42"/>
      <c r="AJ17" s="43" t="str">
        <f aca="false">IF(AND(S17&gt;=12,Y17&gt;=12,AH17&gt;=6),"да","нет")</f>
        <v>да</v>
      </c>
      <c r="AK17" s="2"/>
      <c r="AL17" s="2" t="n">
        <v>40</v>
      </c>
      <c r="AM17" s="23" t="n">
        <f aca="false">SUM(S17,Y17,AA17,AB17,AH17,AL17,AK17)</f>
        <v>81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174" t="n">
        <v>16</v>
      </c>
      <c r="B18" s="175" t="s">
        <v>258</v>
      </c>
      <c r="C18" s="27" t="s">
        <v>85</v>
      </c>
      <c r="D18" s="27" t="n">
        <v>466385</v>
      </c>
      <c r="E18" s="28" t="s">
        <v>544</v>
      </c>
      <c r="F18" s="28" t="s">
        <v>544</v>
      </c>
      <c r="G18" s="28" t="s">
        <v>544</v>
      </c>
      <c r="H18" s="28" t="s">
        <v>540</v>
      </c>
      <c r="I18" s="28" t="s">
        <v>519</v>
      </c>
      <c r="J18" s="28" t="s">
        <v>522</v>
      </c>
      <c r="K18" s="28" t="s">
        <v>519</v>
      </c>
      <c r="L18" s="28" t="s">
        <v>519</v>
      </c>
      <c r="M18" s="29" t="s">
        <v>540</v>
      </c>
      <c r="N18" s="29"/>
      <c r="O18" s="29" t="s">
        <v>519</v>
      </c>
      <c r="P18" s="30"/>
      <c r="Q18" s="31" t="n">
        <v>12215</v>
      </c>
      <c r="R18" s="102" t="n">
        <v>45616</v>
      </c>
      <c r="S18" s="33" t="n">
        <v>14</v>
      </c>
      <c r="T18" s="34"/>
      <c r="U18" s="35" t="n">
        <v>100987</v>
      </c>
      <c r="V18" s="36" t="n">
        <v>45648</v>
      </c>
      <c r="W18" s="36" t="n">
        <v>45644</v>
      </c>
      <c r="X18" s="36" t="n">
        <v>45654</v>
      </c>
      <c r="Y18" s="37" t="n">
        <v>15</v>
      </c>
      <c r="Z18" s="38"/>
      <c r="AA18" s="39"/>
      <c r="AB18" s="39"/>
      <c r="AC18" s="40"/>
      <c r="AD18" s="41" t="n">
        <v>45685</v>
      </c>
      <c r="AE18" s="28" t="n">
        <v>3</v>
      </c>
      <c r="AF18" s="41" t="n">
        <v>45685</v>
      </c>
      <c r="AG18" s="28" t="n">
        <v>3</v>
      </c>
      <c r="AH18" s="37" t="n">
        <f aca="false">SUM(AE18,AG18)</f>
        <v>6</v>
      </c>
      <c r="AI18" s="42"/>
      <c r="AJ18" s="43" t="str">
        <f aca="false">IF(AND(S18&gt;=12,Y18&gt;=12,AH18&gt;=6),"да","нет")</f>
        <v>да</v>
      </c>
      <c r="AK18" s="2" t="n">
        <v>1</v>
      </c>
      <c r="AL18" s="2" t="n">
        <v>24</v>
      </c>
      <c r="AM18" s="23" t="n">
        <f aca="false">SUM(S18,Y18,AA18,AB18,AH18,AL18,AK18)</f>
        <v>60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192" t="n">
        <v>17</v>
      </c>
      <c r="B19" s="193" t="s">
        <v>269</v>
      </c>
      <c r="C19" s="27" t="s">
        <v>85</v>
      </c>
      <c r="D19" s="27" t="n">
        <v>466472</v>
      </c>
      <c r="E19" s="28" t="s">
        <v>544</v>
      </c>
      <c r="F19" s="28" t="s">
        <v>544</v>
      </c>
      <c r="G19" s="28" t="s">
        <v>544</v>
      </c>
      <c r="H19" s="28" t="s">
        <v>544</v>
      </c>
      <c r="I19" s="28"/>
      <c r="J19" s="28" t="s">
        <v>544</v>
      </c>
      <c r="K19" s="28" t="s">
        <v>525</v>
      </c>
      <c r="L19" s="28" t="s">
        <v>45</v>
      </c>
      <c r="M19" s="29" t="s">
        <v>544</v>
      </c>
      <c r="N19" s="29" t="s">
        <v>519</v>
      </c>
      <c r="O19" s="29"/>
      <c r="P19" s="30"/>
      <c r="Q19" s="31" t="n">
        <v>12216</v>
      </c>
      <c r="R19" s="41" t="n">
        <v>45635</v>
      </c>
      <c r="S19" s="33" t="n">
        <v>14</v>
      </c>
      <c r="T19" s="34"/>
      <c r="U19" s="35" t="n">
        <v>888898</v>
      </c>
      <c r="V19" s="36" t="n">
        <v>45647</v>
      </c>
      <c r="W19" s="36" t="n">
        <v>45648</v>
      </c>
      <c r="X19" s="36" t="n">
        <v>45648</v>
      </c>
      <c r="Y19" s="37" t="n">
        <v>18</v>
      </c>
      <c r="Z19" s="38"/>
      <c r="AA19" s="39"/>
      <c r="AB19" s="39"/>
      <c r="AC19" s="40"/>
      <c r="AD19" s="41" t="n">
        <v>45647</v>
      </c>
      <c r="AE19" s="28" t="n">
        <v>5</v>
      </c>
      <c r="AF19" s="41" t="n">
        <v>45647</v>
      </c>
      <c r="AG19" s="28" t="n">
        <v>5</v>
      </c>
      <c r="AH19" s="37" t="n">
        <f aca="false">SUM(AE19,AG19)</f>
        <v>10</v>
      </c>
      <c r="AI19" s="42"/>
      <c r="AJ19" s="43" t="str">
        <f aca="false">IF(AND(S19&gt;=12,Y19&gt;=12,AH19&gt;=6),"да","нет")</f>
        <v>да</v>
      </c>
      <c r="AK19" s="2"/>
      <c r="AL19" s="2" t="n">
        <v>40</v>
      </c>
      <c r="AM19" s="23" t="n">
        <f aca="false">SUM(S19,Y19,AA19,AB19,AH19,AL19,AK19)</f>
        <v>82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192" t="n">
        <v>18</v>
      </c>
      <c r="B20" s="193" t="s">
        <v>286</v>
      </c>
      <c r="C20" s="27" t="s">
        <v>85</v>
      </c>
      <c r="D20" s="27" t="n">
        <v>466546</v>
      </c>
      <c r="E20" s="28" t="s">
        <v>544</v>
      </c>
      <c r="F20" s="28" t="s">
        <v>544</v>
      </c>
      <c r="G20" s="28" t="s">
        <v>544</v>
      </c>
      <c r="H20" s="28" t="s">
        <v>540</v>
      </c>
      <c r="I20" s="28"/>
      <c r="J20" s="28" t="s">
        <v>540</v>
      </c>
      <c r="K20" s="28" t="s">
        <v>540</v>
      </c>
      <c r="L20" s="28" t="s">
        <v>519</v>
      </c>
      <c r="M20" s="29" t="s">
        <v>519</v>
      </c>
      <c r="N20" s="29"/>
      <c r="O20" s="29"/>
      <c r="P20" s="30"/>
      <c r="Q20" s="31" t="n">
        <v>12217</v>
      </c>
      <c r="R20" s="36" t="n">
        <v>45644</v>
      </c>
      <c r="S20" s="37" t="n">
        <v>17</v>
      </c>
      <c r="T20" s="47"/>
      <c r="U20" s="2" t="n">
        <v>10001</v>
      </c>
      <c r="V20" s="36" t="n">
        <v>45691</v>
      </c>
      <c r="W20" s="36" t="n">
        <v>45694</v>
      </c>
      <c r="X20" s="36" t="n">
        <v>45694</v>
      </c>
      <c r="Y20" s="37" t="n">
        <v>16</v>
      </c>
      <c r="Z20" s="38"/>
      <c r="AA20" s="39"/>
      <c r="AB20" s="39"/>
      <c r="AC20" s="48"/>
      <c r="AD20" s="41" t="n">
        <v>45685</v>
      </c>
      <c r="AE20" s="28" t="n">
        <v>3</v>
      </c>
      <c r="AF20" s="41" t="n">
        <v>45685</v>
      </c>
      <c r="AG20" s="28" t="n">
        <v>3</v>
      </c>
      <c r="AH20" s="37" t="n">
        <f aca="false">SUM(AE20,AG20)</f>
        <v>6</v>
      </c>
      <c r="AI20" s="42"/>
      <c r="AJ20" s="43" t="str">
        <f aca="false">IF(AND(S20&gt;=12,Y20&gt;=12,AH20&gt;=6),"да","нет")</f>
        <v>да</v>
      </c>
      <c r="AK20" s="2"/>
      <c r="AL20" s="2" t="n">
        <v>24</v>
      </c>
      <c r="AM20" s="23" t="n">
        <f aca="false">SUM(S20,Y20,AA20,AB20,AH20,AL20,AK20)</f>
        <v>63</v>
      </c>
      <c r="AN20" s="29" t="str">
        <f aca="false">IF(AND(S20&gt;=12,Y20&gt;=12,AH20&gt;=6,AL20&gt;=24,AM20&gt;=60),"Зачет","Незачет")</f>
        <v>Зачет</v>
      </c>
    </row>
    <row r="21" customFormat="false" ht="15.75" hidden="false" customHeight="false" outlineLevel="0" collapsed="false">
      <c r="A21" s="192" t="n">
        <v>19</v>
      </c>
      <c r="B21" s="193" t="s">
        <v>295</v>
      </c>
      <c r="C21" s="27" t="s">
        <v>85</v>
      </c>
      <c r="D21" s="27" t="n">
        <v>466629</v>
      </c>
      <c r="E21" s="28" t="s">
        <v>544</v>
      </c>
      <c r="F21" s="28" t="s">
        <v>519</v>
      </c>
      <c r="G21" s="28" t="s">
        <v>544</v>
      </c>
      <c r="H21" s="28" t="s">
        <v>544</v>
      </c>
      <c r="I21" s="28"/>
      <c r="J21" s="28" t="s">
        <v>544</v>
      </c>
      <c r="K21" s="28" t="s">
        <v>544</v>
      </c>
      <c r="L21" s="28" t="s">
        <v>519</v>
      </c>
      <c r="M21" s="29" t="s">
        <v>544</v>
      </c>
      <c r="N21" s="29"/>
      <c r="O21" s="29"/>
      <c r="P21" s="30"/>
      <c r="Q21" s="31" t="n">
        <v>12218</v>
      </c>
      <c r="R21" s="28" t="s">
        <v>593</v>
      </c>
      <c r="S21" s="37" t="n">
        <v>20</v>
      </c>
      <c r="T21" s="47"/>
      <c r="U21" s="2" t="n">
        <v>368777</v>
      </c>
      <c r="V21" s="36" t="n">
        <v>45640</v>
      </c>
      <c r="W21" s="36" t="n">
        <v>45644</v>
      </c>
      <c r="X21" s="36" t="n">
        <v>45644</v>
      </c>
      <c r="Y21" s="37" t="n">
        <v>19</v>
      </c>
      <c r="Z21" s="38"/>
      <c r="AA21" s="39"/>
      <c r="AB21" s="39"/>
      <c r="AC21" s="48"/>
      <c r="AD21" s="41" t="n">
        <v>45647</v>
      </c>
      <c r="AE21" s="28" t="n">
        <v>4</v>
      </c>
      <c r="AF21" s="41" t="n">
        <v>45647</v>
      </c>
      <c r="AG21" s="28" t="n">
        <v>4</v>
      </c>
      <c r="AH21" s="37" t="n">
        <f aca="false">SUM(AE21,AG21)</f>
        <v>8</v>
      </c>
      <c r="AI21" s="42"/>
      <c r="AJ21" s="43" t="str">
        <f aca="false">IF(AND(S21&gt;=12,Y21&gt;=12,AH21&gt;=6),"да","нет")</f>
        <v>да</v>
      </c>
      <c r="AK21" s="2"/>
      <c r="AL21" s="2" t="n">
        <v>40</v>
      </c>
      <c r="AM21" s="23" t="n">
        <f aca="false">SUM(S21,Y21,AA21,AB21,AH21,AL21,AK21)</f>
        <v>87</v>
      </c>
      <c r="AN21" s="29" t="str">
        <f aca="false">IF(AND(S21&gt;=12,Y21&gt;=12,AH21&gt;=6,AL21&gt;=24,AM21&gt;=60),"Зачет","Незачет")</f>
        <v>Зачет</v>
      </c>
    </row>
    <row r="22" customFormat="false" ht="15.75" hidden="false" customHeight="false" outlineLevel="0" collapsed="false">
      <c r="A22" s="192" t="n">
        <v>20</v>
      </c>
      <c r="B22" s="193" t="s">
        <v>315</v>
      </c>
      <c r="C22" s="27" t="s">
        <v>85</v>
      </c>
      <c r="D22" s="27" t="n">
        <v>474334</v>
      </c>
      <c r="E22" s="28" t="s">
        <v>540</v>
      </c>
      <c r="F22" s="28" t="s">
        <v>540</v>
      </c>
      <c r="G22" s="28" t="s">
        <v>540</v>
      </c>
      <c r="H22" s="28" t="s">
        <v>540</v>
      </c>
      <c r="I22" s="28"/>
      <c r="J22" s="28" t="s">
        <v>540</v>
      </c>
      <c r="K22" s="28" t="s">
        <v>540</v>
      </c>
      <c r="L22" s="28" t="s">
        <v>540</v>
      </c>
      <c r="M22" s="29" t="s">
        <v>540</v>
      </c>
      <c r="N22" s="29"/>
      <c r="O22" s="29"/>
      <c r="P22" s="30"/>
      <c r="Q22" s="31" t="n">
        <v>12219</v>
      </c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192" t="n">
        <v>21</v>
      </c>
      <c r="B23" s="193" t="s">
        <v>382</v>
      </c>
      <c r="C23" s="27" t="s">
        <v>85</v>
      </c>
      <c r="D23" s="27" t="n">
        <v>467282</v>
      </c>
      <c r="E23" s="28" t="s">
        <v>544</v>
      </c>
      <c r="F23" s="28" t="s">
        <v>544</v>
      </c>
      <c r="G23" s="28" t="s">
        <v>544</v>
      </c>
      <c r="H23" s="28" t="s">
        <v>544</v>
      </c>
      <c r="I23" s="28"/>
      <c r="J23" s="28" t="s">
        <v>544</v>
      </c>
      <c r="K23" s="28" t="s">
        <v>540</v>
      </c>
      <c r="L23" s="28" t="s">
        <v>519</v>
      </c>
      <c r="M23" s="29" t="s">
        <v>544</v>
      </c>
      <c r="N23" s="29" t="s">
        <v>519</v>
      </c>
      <c r="O23" s="29"/>
      <c r="P23" s="30"/>
      <c r="Q23" s="31" t="n">
        <v>12220</v>
      </c>
      <c r="R23" s="28" t="s">
        <v>595</v>
      </c>
      <c r="S23" s="37" t="n">
        <v>19</v>
      </c>
      <c r="T23" s="47"/>
      <c r="U23" s="2" t="n">
        <v>997999</v>
      </c>
      <c r="V23" s="36" t="n">
        <v>45644</v>
      </c>
      <c r="W23" s="36" t="n">
        <v>45647</v>
      </c>
      <c r="X23" s="36" t="n">
        <v>45647</v>
      </c>
      <c r="Y23" s="37" t="n">
        <v>16</v>
      </c>
      <c r="Z23" s="38"/>
      <c r="AA23" s="39"/>
      <c r="AB23" s="39"/>
      <c r="AC23" s="48"/>
      <c r="AD23" s="41" t="n">
        <v>45667</v>
      </c>
      <c r="AE23" s="28" t="n">
        <v>3</v>
      </c>
      <c r="AF23" s="41" t="n">
        <v>45667</v>
      </c>
      <c r="AG23" s="28" t="n">
        <v>3</v>
      </c>
      <c r="AH23" s="37" t="n">
        <f aca="false">SUM(AE23,AG23)</f>
        <v>6</v>
      </c>
      <c r="AI23" s="42"/>
      <c r="AJ23" s="43" t="str">
        <f aca="false">IF(AND(S23&gt;=12,Y23&gt;=12,AH23&gt;=6),"да","нет")</f>
        <v>да</v>
      </c>
      <c r="AK23" s="2"/>
      <c r="AL23" s="2" t="n">
        <v>40</v>
      </c>
      <c r="AM23" s="23" t="n">
        <f aca="false">SUM(S23,Y23,AA23,AB23,AH23,AL23,AK23)</f>
        <v>81</v>
      </c>
      <c r="AN23" s="29" t="str">
        <f aca="false">IF(AND(S23&gt;=12,Y23&gt;=12,AH23&gt;=6,AL23&gt;=24,AM23&gt;=60),"Зачет","Незачет")</f>
        <v>Зачет</v>
      </c>
    </row>
    <row r="24" customFormat="false" ht="15.75" hidden="false" customHeight="false" outlineLevel="0" collapsed="false">
      <c r="A24" s="192" t="n">
        <v>22</v>
      </c>
      <c r="B24" s="193" t="s">
        <v>414</v>
      </c>
      <c r="C24" s="27" t="s">
        <v>85</v>
      </c>
      <c r="D24" s="27" t="n">
        <v>467494</v>
      </c>
      <c r="E24" s="28" t="s">
        <v>544</v>
      </c>
      <c r="F24" s="28" t="s">
        <v>544</v>
      </c>
      <c r="G24" s="28" t="s">
        <v>544</v>
      </c>
      <c r="H24" s="28" t="s">
        <v>544</v>
      </c>
      <c r="I24" s="28"/>
      <c r="J24" s="28" t="s">
        <v>540</v>
      </c>
      <c r="K24" s="28" t="s">
        <v>540</v>
      </c>
      <c r="L24" s="28" t="s">
        <v>540</v>
      </c>
      <c r="M24" s="29" t="s">
        <v>540</v>
      </c>
      <c r="N24" s="29"/>
      <c r="O24" s="29"/>
      <c r="P24" s="30"/>
      <c r="Q24" s="31" t="n">
        <v>12221</v>
      </c>
      <c r="R24" s="28" t="s">
        <v>596</v>
      </c>
      <c r="S24" s="37" t="n">
        <v>0.01</v>
      </c>
      <c r="T24" s="47"/>
      <c r="U24" s="2"/>
      <c r="V24" s="36"/>
      <c r="W24" s="36"/>
      <c r="X24" s="36"/>
      <c r="Y24" s="37"/>
      <c r="Z24" s="38"/>
      <c r="AA24" s="39"/>
      <c r="AB24" s="39"/>
      <c r="AC24" s="48"/>
      <c r="AD24" s="28"/>
      <c r="AE24" s="28"/>
      <c r="AF24" s="28"/>
      <c r="AG24" s="28"/>
      <c r="AH24" s="37" t="n">
        <f aca="false">SUM(AE24,AG24)</f>
        <v>0</v>
      </c>
      <c r="AI24" s="42"/>
      <c r="AJ24" s="43" t="str">
        <f aca="false">IF(AND(S24&gt;=12,Y24&gt;=12,AH24&gt;=6),"да","нет")</f>
        <v>нет</v>
      </c>
      <c r="AK24" s="2"/>
      <c r="AL24" s="2"/>
      <c r="AM24" s="23" t="n">
        <f aca="false">SUM(S24,Y24,AA24,AB24,AH24,AL24,AK24)</f>
        <v>0.01</v>
      </c>
      <c r="AN24" s="29" t="str">
        <f aca="false">IF(AND(S24&gt;=12,Y24&gt;=12,AH24&gt;=6,AL24&gt;=24,AM24&gt;=60),"Зачет","Незачет")</f>
        <v>Незачет</v>
      </c>
    </row>
    <row r="25" customFormat="false" ht="15.75" hidden="false" customHeight="false" outlineLevel="0" collapsed="false">
      <c r="A25" s="176" t="n">
        <v>23</v>
      </c>
      <c r="B25" s="177" t="s">
        <v>419</v>
      </c>
      <c r="C25" s="178" t="s">
        <v>85</v>
      </c>
      <c r="D25" s="178" t="n">
        <v>268766</v>
      </c>
      <c r="E25" s="179" t="s">
        <v>540</v>
      </c>
      <c r="F25" s="179" t="s">
        <v>540</v>
      </c>
      <c r="G25" s="179" t="s">
        <v>540</v>
      </c>
      <c r="H25" s="179" t="s">
        <v>540</v>
      </c>
      <c r="I25" s="179"/>
      <c r="J25" s="179" t="s">
        <v>540</v>
      </c>
      <c r="K25" s="179" t="s">
        <v>540</v>
      </c>
      <c r="L25" s="179" t="s">
        <v>540</v>
      </c>
      <c r="M25" s="179" t="s">
        <v>540</v>
      </c>
      <c r="N25" s="179"/>
      <c r="O25" s="179"/>
      <c r="P25" s="179"/>
      <c r="Q25" s="180" t="n">
        <v>12222</v>
      </c>
      <c r="R25" s="184"/>
      <c r="S25" s="185"/>
      <c r="T25" s="190"/>
      <c r="U25" s="190"/>
      <c r="V25" s="184"/>
      <c r="W25" s="184"/>
      <c r="X25" s="184"/>
      <c r="Y25" s="185"/>
      <c r="Z25" s="186"/>
      <c r="AA25" s="186"/>
      <c r="AB25" s="186"/>
      <c r="AC25" s="179"/>
      <c r="AD25" s="179"/>
      <c r="AE25" s="179"/>
      <c r="AF25" s="179"/>
      <c r="AG25" s="179"/>
      <c r="AH25" s="185" t="n">
        <f aca="false">SUM(AE25,AG25)</f>
        <v>0</v>
      </c>
      <c r="AI25" s="188"/>
      <c r="AJ25" s="189" t="str">
        <f aca="false">IF(AND(S25&gt;=12,Y25&gt;=12,AH25&gt;=6),"да","нет")</f>
        <v>нет</v>
      </c>
      <c r="AK25" s="190"/>
      <c r="AL25" s="190"/>
      <c r="AM25" s="191" t="n">
        <f aca="false">SUM(S25,Y25,AA25,AB25,AH25,AL25,AK25)</f>
        <v>0</v>
      </c>
      <c r="AN25" s="179" t="str">
        <f aca="false">IF(AND(S25&gt;=12,Y25&gt;=12,AH25&gt;=6,AL25&gt;=24,AM25&gt;=60),"Зачет","Незачет")</f>
        <v>Незачет</v>
      </c>
    </row>
    <row r="26" customFormat="false" ht="15.75" hidden="false" customHeight="false" outlineLevel="0" collapsed="false">
      <c r="A26" s="192" t="n">
        <v>24</v>
      </c>
      <c r="B26" s="193" t="s">
        <v>426</v>
      </c>
      <c r="C26" s="27" t="s">
        <v>85</v>
      </c>
      <c r="D26" s="27" t="n">
        <v>409611</v>
      </c>
      <c r="E26" s="28" t="s">
        <v>540</v>
      </c>
      <c r="F26" s="28" t="s">
        <v>540</v>
      </c>
      <c r="G26" s="28" t="s">
        <v>540</v>
      </c>
      <c r="H26" s="28" t="s">
        <v>540</v>
      </c>
      <c r="I26" s="28"/>
      <c r="J26" s="28" t="s">
        <v>540</v>
      </c>
      <c r="K26" s="28" t="s">
        <v>540</v>
      </c>
      <c r="L26" s="28" t="s">
        <v>540</v>
      </c>
      <c r="M26" s="29" t="s">
        <v>540</v>
      </c>
      <c r="N26" s="29"/>
      <c r="O26" s="29"/>
      <c r="P26" s="30"/>
      <c r="Q26" s="31" t="n">
        <v>12223</v>
      </c>
      <c r="R26" s="36"/>
      <c r="S26" s="37"/>
      <c r="T26" s="47"/>
      <c r="U26" s="2"/>
      <c r="V26" s="36"/>
      <c r="W26" s="36"/>
      <c r="X26" s="36"/>
      <c r="Y26" s="37"/>
      <c r="Z26" s="38"/>
      <c r="AA26" s="39"/>
      <c r="AB26" s="39"/>
      <c r="AC26" s="48"/>
      <c r="AD26" s="28"/>
      <c r="AE26" s="28"/>
      <c r="AF26" s="28"/>
      <c r="AG26" s="28"/>
      <c r="AH26" s="37" t="n">
        <f aca="false">SUM(AE26,AG26)</f>
        <v>0</v>
      </c>
      <c r="AI26" s="42"/>
      <c r="AJ26" s="43" t="str">
        <f aca="false">IF(AND(S26&gt;=12,Y26&gt;=12,AH26&gt;=6),"да","нет")</f>
        <v>нет</v>
      </c>
      <c r="AK26" s="2"/>
      <c r="AL26" s="2"/>
      <c r="AM26" s="23" t="n">
        <f aca="false">SUM(S26,Y26,AA26,AB26,AH26,AL26,AK26)</f>
        <v>0</v>
      </c>
      <c r="AN26" s="29" t="str">
        <f aca="false">IF(AND(S26&gt;=12,Y26&gt;=12,AH26&gt;=6,AL26&gt;=24,AM26&gt;=60),"Зачет","Незачет")</f>
        <v>Незачет</v>
      </c>
    </row>
    <row r="27" customFormat="false" ht="15.75" hidden="false" customHeight="false" outlineLevel="0" collapsed="false">
      <c r="A27" s="192" t="n">
        <v>25</v>
      </c>
      <c r="B27" s="193" t="s">
        <v>447</v>
      </c>
      <c r="C27" s="27" t="s">
        <v>85</v>
      </c>
      <c r="D27" s="27" t="n">
        <v>467676</v>
      </c>
      <c r="E27" s="28" t="s">
        <v>544</v>
      </c>
      <c r="F27" s="28" t="s">
        <v>540</v>
      </c>
      <c r="G27" s="28" t="s">
        <v>519</v>
      </c>
      <c r="H27" s="28" t="s">
        <v>540</v>
      </c>
      <c r="I27" s="28"/>
      <c r="J27" s="28" t="s">
        <v>544</v>
      </c>
      <c r="K27" s="28" t="s">
        <v>540</v>
      </c>
      <c r="L27" s="28" t="s">
        <v>544</v>
      </c>
      <c r="M27" s="29" t="s">
        <v>540</v>
      </c>
      <c r="N27" s="29" t="s">
        <v>519</v>
      </c>
      <c r="O27" s="29"/>
      <c r="P27" s="30"/>
      <c r="Q27" s="31" t="n">
        <v>12224</v>
      </c>
      <c r="R27" s="28" t="n">
        <v>20.11</v>
      </c>
      <c r="S27" s="37" t="n">
        <v>17</v>
      </c>
      <c r="T27" s="47"/>
      <c r="U27" s="2" t="n">
        <v>87878</v>
      </c>
      <c r="V27" s="36" t="n">
        <v>45647</v>
      </c>
      <c r="W27" s="36" t="n">
        <v>45648</v>
      </c>
      <c r="X27" s="36" t="n">
        <v>45648</v>
      </c>
      <c r="Y27" s="37" t="n">
        <v>18</v>
      </c>
      <c r="Z27" s="38"/>
      <c r="AA27" s="39"/>
      <c r="AB27" s="39"/>
      <c r="AC27" s="48"/>
      <c r="AD27" s="41" t="n">
        <v>45647</v>
      </c>
      <c r="AE27" s="28" t="n">
        <v>4.5</v>
      </c>
      <c r="AF27" s="41" t="n">
        <v>45647</v>
      </c>
      <c r="AG27" s="28" t="n">
        <v>4.5</v>
      </c>
      <c r="AH27" s="37" t="n">
        <f aca="false">SUM(AE27,AG27)</f>
        <v>9</v>
      </c>
      <c r="AI27" s="42"/>
      <c r="AJ27" s="43" t="str">
        <f aca="false">IF(AND(S27&gt;=12,Y27&gt;=12,AH27&gt;=6),"да","нет")</f>
        <v>да</v>
      </c>
      <c r="AK27" s="2"/>
      <c r="AL27" s="2" t="n">
        <v>40</v>
      </c>
      <c r="AM27" s="23" t="n">
        <f aca="false">SUM(S27,Y27,AA27,AB27,AH27,AL27,AK27)</f>
        <v>84</v>
      </c>
      <c r="AN27" s="29" t="str">
        <f aca="false">IF(AND(S27&gt;=12,Y27&gt;=12,AH27&gt;=6,AL27&gt;=24,AM27&gt;=60),"Зачет","Незачет")</f>
        <v>Зачет</v>
      </c>
    </row>
    <row r="28" customFormat="false" ht="15.75" hidden="false" customHeight="false" outlineLevel="0" collapsed="false">
      <c r="A28" s="192" t="n">
        <v>26</v>
      </c>
      <c r="B28" s="193" t="s">
        <v>460</v>
      </c>
      <c r="C28" s="27" t="s">
        <v>85</v>
      </c>
      <c r="D28" s="27" t="n">
        <v>463226</v>
      </c>
      <c r="E28" s="28" t="s">
        <v>544</v>
      </c>
      <c r="F28" s="28" t="s">
        <v>544</v>
      </c>
      <c r="G28" s="28" t="s">
        <v>544</v>
      </c>
      <c r="H28" s="28" t="s">
        <v>544</v>
      </c>
      <c r="I28" s="28"/>
      <c r="J28" s="28" t="s">
        <v>544</v>
      </c>
      <c r="K28" s="28" t="s">
        <v>540</v>
      </c>
      <c r="L28" s="28" t="s">
        <v>540</v>
      </c>
      <c r="M28" s="29" t="s">
        <v>544</v>
      </c>
      <c r="N28" s="29"/>
      <c r="O28" s="29"/>
      <c r="P28" s="30"/>
      <c r="Q28" s="31" t="n">
        <v>12225</v>
      </c>
      <c r="R28" s="41" t="n">
        <v>45616</v>
      </c>
      <c r="S28" s="37" t="n">
        <v>16</v>
      </c>
      <c r="T28" s="47"/>
      <c r="U28" s="2" t="n">
        <v>87652</v>
      </c>
      <c r="V28" s="36" t="n">
        <v>45677</v>
      </c>
      <c r="W28" s="36" t="n">
        <v>45694</v>
      </c>
      <c r="X28" s="36" t="n">
        <v>45694</v>
      </c>
      <c r="Y28" s="37" t="n">
        <v>16</v>
      </c>
      <c r="Z28" s="38"/>
      <c r="AA28" s="39"/>
      <c r="AB28" s="39"/>
      <c r="AC28" s="48"/>
      <c r="AD28" s="119" t="n">
        <v>45667</v>
      </c>
      <c r="AE28" s="28" t="n">
        <v>3</v>
      </c>
      <c r="AF28" s="41" t="n">
        <v>45667</v>
      </c>
      <c r="AG28" s="28" t="n">
        <v>3</v>
      </c>
      <c r="AH28" s="37" t="n">
        <f aca="false">SUM(AE28,AG28)</f>
        <v>6</v>
      </c>
      <c r="AI28" s="42"/>
      <c r="AJ28" s="43" t="str">
        <f aca="false">IF(AND(S28&gt;=12,Y28&gt;=12,AH28&gt;=6),"да","нет")</f>
        <v>да</v>
      </c>
      <c r="AK28" s="2"/>
      <c r="AL28" s="2" t="n">
        <v>24</v>
      </c>
      <c r="AM28" s="23" t="n">
        <f aca="false">SUM(S28,Y28,AA28,AB28,AH28,AL28,AK28)</f>
        <v>62</v>
      </c>
      <c r="AN28" s="29" t="str">
        <f aca="false">IF(AND(S28&gt;=12,Y28&gt;=12,AH28&gt;=6,AL28&gt;=24,AM28&gt;=60),"Зачет","Незачет")</f>
        <v>Зачет</v>
      </c>
    </row>
    <row r="29" customFormat="false" ht="15.75" hidden="false" customHeight="false" outlineLevel="0" collapsed="false">
      <c r="A29" s="192" t="n">
        <v>27</v>
      </c>
      <c r="B29" s="193" t="s">
        <v>470</v>
      </c>
      <c r="C29" s="27" t="s">
        <v>85</v>
      </c>
      <c r="D29" s="27" t="n">
        <v>467898</v>
      </c>
      <c r="E29" s="28" t="s">
        <v>544</v>
      </c>
      <c r="F29" s="28" t="s">
        <v>544</v>
      </c>
      <c r="G29" s="28" t="s">
        <v>544</v>
      </c>
      <c r="H29" s="28" t="s">
        <v>544</v>
      </c>
      <c r="I29" s="28"/>
      <c r="J29" s="28" t="s">
        <v>544</v>
      </c>
      <c r="K29" s="28" t="s">
        <v>544</v>
      </c>
      <c r="L29" s="28" t="s">
        <v>540</v>
      </c>
      <c r="M29" s="29" t="s">
        <v>519</v>
      </c>
      <c r="N29" s="29"/>
      <c r="O29" s="29"/>
      <c r="P29" s="30"/>
      <c r="Q29" s="31" t="n">
        <v>12226</v>
      </c>
      <c r="R29" s="28" t="s">
        <v>595</v>
      </c>
      <c r="S29" s="37" t="n">
        <v>19</v>
      </c>
      <c r="T29" s="47"/>
      <c r="U29" s="2" t="n">
        <v>2391892</v>
      </c>
      <c r="V29" s="41" t="n">
        <v>45635</v>
      </c>
      <c r="W29" s="104" t="n">
        <v>45640</v>
      </c>
      <c r="X29" s="36" t="n">
        <v>45640</v>
      </c>
      <c r="Y29" s="37" t="n">
        <v>20</v>
      </c>
      <c r="Z29" s="38"/>
      <c r="AA29" s="39"/>
      <c r="AB29" s="39"/>
      <c r="AC29" s="48"/>
      <c r="AD29" s="41" t="n">
        <v>45647</v>
      </c>
      <c r="AE29" s="28" t="n">
        <v>5</v>
      </c>
      <c r="AF29" s="41" t="n">
        <v>45647</v>
      </c>
      <c r="AG29" s="28" t="n">
        <v>5</v>
      </c>
      <c r="AH29" s="37" t="n">
        <f aca="false">SUM(AE29,AG29)</f>
        <v>10</v>
      </c>
      <c r="AI29" s="42"/>
      <c r="AJ29" s="43" t="str">
        <f aca="false">IF(AND(S29&gt;=12,Y29&gt;=12,AH29&gt;=6),"да","нет")</f>
        <v>да</v>
      </c>
      <c r="AK29" s="2"/>
      <c r="AL29" s="2" t="n">
        <v>40</v>
      </c>
      <c r="AM29" s="23" t="n">
        <f aca="false">SUM(S29,Y29,AA29,AB29,AH29,AL29,AK29)</f>
        <v>89</v>
      </c>
      <c r="AN29" s="29" t="str">
        <f aca="false">IF(AND(S29&gt;=12,Y29&gt;=12,AH29&gt;=6,AL29&gt;=24,AM29&gt;=60),"Зачет","Незачет")</f>
        <v>Зачет</v>
      </c>
    </row>
    <row r="30" customFormat="false" ht="15.75" hidden="false" customHeight="false" outlineLevel="0" collapsed="false">
      <c r="A30" s="192" t="n">
        <v>28</v>
      </c>
      <c r="B30" s="193" t="s">
        <v>474</v>
      </c>
      <c r="C30" s="27" t="s">
        <v>85</v>
      </c>
      <c r="D30" s="27" t="n">
        <v>415129</v>
      </c>
      <c r="E30" s="28" t="s">
        <v>544</v>
      </c>
      <c r="F30" s="28" t="s">
        <v>544</v>
      </c>
      <c r="G30" s="28" t="s">
        <v>544</v>
      </c>
      <c r="H30" s="28" t="s">
        <v>544</v>
      </c>
      <c r="I30" s="28"/>
      <c r="J30" s="28" t="s">
        <v>544</v>
      </c>
      <c r="K30" s="28" t="s">
        <v>544</v>
      </c>
      <c r="L30" s="28" t="s">
        <v>540</v>
      </c>
      <c r="M30" s="29" t="s">
        <v>519</v>
      </c>
      <c r="N30" s="29"/>
      <c r="O30" s="29"/>
      <c r="P30" s="30"/>
      <c r="Q30" s="31" t="n">
        <v>12227</v>
      </c>
      <c r="R30" s="28" t="s">
        <v>596</v>
      </c>
      <c r="S30" s="37" t="n">
        <v>19</v>
      </c>
      <c r="T30" s="47"/>
      <c r="U30" s="2" t="n">
        <v>2122344</v>
      </c>
      <c r="V30" s="41" t="n">
        <v>45635</v>
      </c>
      <c r="W30" s="36" t="n">
        <v>45640</v>
      </c>
      <c r="X30" s="36" t="n">
        <v>45640</v>
      </c>
      <c r="Y30" s="37" t="n">
        <v>20</v>
      </c>
      <c r="Z30" s="38"/>
      <c r="AA30" s="39"/>
      <c r="AB30" s="39"/>
      <c r="AC30" s="48"/>
      <c r="AD30" s="41" t="n">
        <v>45647</v>
      </c>
      <c r="AE30" s="28" t="n">
        <v>4.5</v>
      </c>
      <c r="AF30" s="41" t="n">
        <v>45647</v>
      </c>
      <c r="AG30" s="28" t="n">
        <v>4.5</v>
      </c>
      <c r="AH30" s="37" t="n">
        <f aca="false">SUM(AE30,AG30)</f>
        <v>9</v>
      </c>
      <c r="AI30" s="42"/>
      <c r="AJ30" s="43" t="str">
        <f aca="false">IF(AND(S30&gt;=12,Y30&gt;=12,AH30&gt;=6),"да","нет")</f>
        <v>да</v>
      </c>
      <c r="AK30" s="2"/>
      <c r="AL30" s="2" t="n">
        <v>40</v>
      </c>
      <c r="AM30" s="23" t="n">
        <f aca="false">SUM(S30,Y30,AA30,AB30,AH30,AL30,AK30)</f>
        <v>88</v>
      </c>
      <c r="AN30" s="29" t="str">
        <f aca="false">IF(AND(S30&gt;=12,Y30&gt;=12,AH30&gt;=6,AL30&gt;=24,AM30&gt;=60),"Зачет","Незачет")</f>
        <v>Зачет</v>
      </c>
    </row>
    <row r="31" customFormat="false" ht="15.75" hidden="false" customHeight="false" outlineLevel="0" collapsed="false">
      <c r="A31" s="192" t="n">
        <v>29</v>
      </c>
      <c r="B31" s="193" t="s">
        <v>492</v>
      </c>
      <c r="C31" s="27" t="s">
        <v>85</v>
      </c>
      <c r="D31" s="27" t="n">
        <v>472664</v>
      </c>
      <c r="E31" s="28" t="s">
        <v>540</v>
      </c>
      <c r="F31" s="28" t="s">
        <v>540</v>
      </c>
      <c r="G31" s="28" t="s">
        <v>540</v>
      </c>
      <c r="H31" s="28" t="s">
        <v>540</v>
      </c>
      <c r="I31" s="28"/>
      <c r="J31" s="28" t="s">
        <v>540</v>
      </c>
      <c r="K31" s="28" t="s">
        <v>540</v>
      </c>
      <c r="L31" s="28" t="s">
        <v>540</v>
      </c>
      <c r="M31" s="29" t="s">
        <v>540</v>
      </c>
      <c r="N31" s="29"/>
      <c r="O31" s="29"/>
      <c r="P31" s="30"/>
      <c r="Q31" s="31" t="n">
        <v>12228</v>
      </c>
      <c r="R31" s="36" t="n">
        <v>45694</v>
      </c>
      <c r="S31" s="37" t="n">
        <v>17</v>
      </c>
      <c r="T31" s="47"/>
      <c r="U31" s="2" t="n">
        <v>8800</v>
      </c>
      <c r="V31" s="36" t="n">
        <v>45702</v>
      </c>
      <c r="W31" s="36" t="n">
        <v>45710</v>
      </c>
      <c r="X31" s="36" t="n">
        <v>45710</v>
      </c>
      <c r="Y31" s="37" t="n">
        <v>14</v>
      </c>
      <c r="Z31" s="38"/>
      <c r="AA31" s="39"/>
      <c r="AB31" s="39"/>
      <c r="AC31" s="48"/>
      <c r="AD31" s="77" t="n">
        <v>45717</v>
      </c>
      <c r="AE31" s="28" t="n">
        <v>3</v>
      </c>
      <c r="AF31" s="77" t="n">
        <v>45717</v>
      </c>
      <c r="AG31" s="28" t="n">
        <v>3</v>
      </c>
      <c r="AH31" s="37" t="n">
        <f aca="false">SUM(AE31,AG31)</f>
        <v>6</v>
      </c>
      <c r="AI31" s="42"/>
      <c r="AJ31" s="43" t="str">
        <f aca="false">IF(AND(S31&gt;=12,Y31&gt;=12,AH31&gt;=6),"да","нет")</f>
        <v>да</v>
      </c>
      <c r="AK31" s="2"/>
      <c r="AL31" s="2" t="n">
        <v>24</v>
      </c>
      <c r="AM31" s="23" t="n">
        <f aca="false">SUM(S31,Y31,AA31,AB31,AH31,AL31,AK31)</f>
        <v>61</v>
      </c>
      <c r="AN31" s="29" t="str">
        <f aca="false">IF(AND(S31&gt;=12,Y31&gt;=12,AH31&gt;=6,AL31&gt;=24,AM31&gt;=60),"Зачет","Незачет")</f>
        <v>Зачет</v>
      </c>
    </row>
    <row r="32" customFormat="false" ht="15.75" hidden="false" customHeight="false" outlineLevel="0" collapsed="false">
      <c r="A32" s="192" t="n">
        <v>30</v>
      </c>
      <c r="B32" s="193" t="s">
        <v>497</v>
      </c>
      <c r="C32" s="27" t="s">
        <v>85</v>
      </c>
      <c r="D32" s="27" t="n">
        <v>475247</v>
      </c>
      <c r="E32" s="28" t="s">
        <v>544</v>
      </c>
      <c r="F32" s="28" t="s">
        <v>544</v>
      </c>
      <c r="G32" s="28" t="s">
        <v>544</v>
      </c>
      <c r="H32" s="28" t="s">
        <v>544</v>
      </c>
      <c r="I32" s="28"/>
      <c r="J32" s="28" t="s">
        <v>544</v>
      </c>
      <c r="K32" s="28" t="s">
        <v>544</v>
      </c>
      <c r="L32" s="28" t="s">
        <v>519</v>
      </c>
      <c r="M32" s="29" t="s">
        <v>540</v>
      </c>
      <c r="N32" s="29"/>
      <c r="O32" s="29"/>
      <c r="P32" s="30"/>
      <c r="Q32" s="31" t="n">
        <v>12229</v>
      </c>
      <c r="R32" s="28" t="s">
        <v>593</v>
      </c>
      <c r="S32" s="37" t="n">
        <v>20</v>
      </c>
      <c r="T32" s="47"/>
      <c r="U32" s="2" t="n">
        <v>989865</v>
      </c>
      <c r="V32" s="36" t="n">
        <v>45644</v>
      </c>
      <c r="W32" s="36" t="n">
        <v>45648</v>
      </c>
      <c r="X32" s="36" t="n">
        <v>45648</v>
      </c>
      <c r="Y32" s="37" t="n">
        <v>17</v>
      </c>
      <c r="Z32" s="38"/>
      <c r="AA32" s="39"/>
      <c r="AB32" s="39"/>
      <c r="AC32" s="48"/>
      <c r="AD32" s="119" t="n">
        <v>45667</v>
      </c>
      <c r="AE32" s="28" t="n">
        <v>3</v>
      </c>
      <c r="AF32" s="41" t="n">
        <v>45667</v>
      </c>
      <c r="AG32" s="28" t="n">
        <v>3</v>
      </c>
      <c r="AH32" s="37" t="n">
        <f aca="false">SUM(AE32,AG32)</f>
        <v>6</v>
      </c>
      <c r="AI32" s="42"/>
      <c r="AJ32" s="43" t="str">
        <f aca="false">IF(AND(S32&gt;=12,Y32&gt;=12,AH32&gt;=6),"да","нет")</f>
        <v>да</v>
      </c>
      <c r="AK32" s="2"/>
      <c r="AL32" s="2" t="n">
        <v>35</v>
      </c>
      <c r="AM32" s="23" t="n">
        <f aca="false">SUM(S32,Y32,AA32,AB32,AH32,AL32,AK32)</f>
        <v>78</v>
      </c>
      <c r="AN32" s="29" t="str">
        <f aca="false">IF(AND(S32&gt;=12,Y32&gt;=12,AH32&gt;=6,AL32&gt;=24,AM32&gt;=60),"Зачет","Незачет")</f>
        <v>Зачет</v>
      </c>
    </row>
    <row r="33" customFormat="false" ht="15.75" hidden="false" customHeight="false" outlineLevel="0" collapsed="false">
      <c r="A33" s="192" t="n">
        <v>31</v>
      </c>
      <c r="B33" s="193" t="s">
        <v>501</v>
      </c>
      <c r="C33" s="27" t="s">
        <v>85</v>
      </c>
      <c r="D33" s="27" t="n">
        <v>408078</v>
      </c>
      <c r="E33" s="28" t="s">
        <v>544</v>
      </c>
      <c r="F33" s="28" t="s">
        <v>544</v>
      </c>
      <c r="G33" s="28" t="s">
        <v>544</v>
      </c>
      <c r="H33" s="28" t="s">
        <v>540</v>
      </c>
      <c r="I33" s="28"/>
      <c r="J33" s="28" t="s">
        <v>544</v>
      </c>
      <c r="K33" s="28" t="s">
        <v>540</v>
      </c>
      <c r="L33" s="28" t="s">
        <v>519</v>
      </c>
      <c r="M33" s="29" t="s">
        <v>540</v>
      </c>
      <c r="N33" s="29"/>
      <c r="O33" s="29"/>
      <c r="P33" s="30"/>
      <c r="Q33" s="31" t="n">
        <v>12230</v>
      </c>
      <c r="R33" s="28" t="n">
        <v>20.11</v>
      </c>
      <c r="S33" s="37" t="n">
        <v>18</v>
      </c>
      <c r="T33" s="47"/>
      <c r="U33" s="2" t="n">
        <v>31099</v>
      </c>
      <c r="V33" s="36" t="n">
        <v>45644</v>
      </c>
      <c r="W33" s="36" t="n">
        <v>45648</v>
      </c>
      <c r="X33" s="36" t="n">
        <v>45648</v>
      </c>
      <c r="Y33" s="37" t="n">
        <v>17</v>
      </c>
      <c r="Z33" s="38"/>
      <c r="AA33" s="39"/>
      <c r="AB33" s="39"/>
      <c r="AC33" s="48"/>
      <c r="AD33" s="41" t="n">
        <v>45667</v>
      </c>
      <c r="AE33" s="28" t="n">
        <v>3</v>
      </c>
      <c r="AF33" s="41" t="n">
        <v>45667</v>
      </c>
      <c r="AG33" s="28" t="n">
        <v>3</v>
      </c>
      <c r="AH33" s="37" t="n">
        <f aca="false">SUM(AE33,AG33)</f>
        <v>6</v>
      </c>
      <c r="AI33" s="42"/>
      <c r="AJ33" s="43" t="str">
        <f aca="false">IF(AND(S33&gt;=12,Y33&gt;=12,AH33&gt;=6),"да","нет")</f>
        <v>да</v>
      </c>
      <c r="AK33" s="2"/>
      <c r="AL33" s="2" t="n">
        <v>24</v>
      </c>
      <c r="AM33" s="23" t="n">
        <f aca="false">SUM(S33,Y33,AA33,AB33,AH33,AL33,AK33)</f>
        <v>65</v>
      </c>
      <c r="AN33" s="29" t="str">
        <f aca="false">IF(AND(S33&gt;=12,Y33&gt;=12,AH33&gt;=6,AL33&gt;=24,AM33&gt;=60),"Зачет","Незачет")</f>
        <v>Зачет</v>
      </c>
    </row>
    <row r="34" customFormat="false" ht="15.75" hidden="false" customHeight="false" outlineLevel="0" collapsed="false">
      <c r="A34" s="194" t="n">
        <v>32</v>
      </c>
      <c r="B34" s="193" t="s">
        <v>507</v>
      </c>
      <c r="C34" s="195" t="s">
        <v>85</v>
      </c>
      <c r="D34" s="195" t="n">
        <v>413033</v>
      </c>
      <c r="E34" s="28" t="s">
        <v>540</v>
      </c>
      <c r="F34" s="28" t="s">
        <v>540</v>
      </c>
      <c r="G34" s="28" t="s">
        <v>540</v>
      </c>
      <c r="H34" s="28" t="s">
        <v>540</v>
      </c>
      <c r="I34" s="28"/>
      <c r="J34" s="28" t="s">
        <v>540</v>
      </c>
      <c r="K34" s="28" t="s">
        <v>540</v>
      </c>
      <c r="L34" s="28" t="s">
        <v>540</v>
      </c>
      <c r="M34" s="29" t="s">
        <v>540</v>
      </c>
      <c r="N34" s="29"/>
      <c r="O34" s="29"/>
      <c r="P34" s="30"/>
      <c r="Q34" s="31" t="n">
        <v>12231</v>
      </c>
      <c r="R34" s="36" t="n">
        <v>45691</v>
      </c>
      <c r="S34" s="37" t="s">
        <v>584</v>
      </c>
      <c r="T34" s="47"/>
      <c r="U34" s="2"/>
      <c r="V34" s="36"/>
      <c r="W34" s="36"/>
      <c r="X34" s="36"/>
      <c r="Y34" s="37"/>
      <c r="Z34" s="38"/>
      <c r="AA34" s="39"/>
      <c r="AB34" s="39"/>
      <c r="AC34" s="48"/>
      <c r="AD34" s="41" t="n">
        <v>45647</v>
      </c>
      <c r="AE34" s="28" t="n">
        <v>0.1</v>
      </c>
      <c r="AF34" s="28"/>
      <c r="AG34" s="28"/>
      <c r="AH34" s="37" t="n">
        <f aca="false">SUM(AE34,AG34)</f>
        <v>0.1</v>
      </c>
      <c r="AI34" s="42"/>
      <c r="AJ34" s="43" t="str">
        <f aca="false">IF(AND(S34&gt;=12,Y34&gt;=12,AH34&gt;=6),"да","нет")</f>
        <v>нет</v>
      </c>
      <c r="AK34" s="2"/>
      <c r="AL34" s="2"/>
      <c r="AM34" s="23" t="n">
        <f aca="false">SUM(S34,Y34,AA34,AB34,AH34,AL34,AK34)</f>
        <v>0.1</v>
      </c>
      <c r="AN34" s="29" t="str">
        <f aca="false">IF(AND(S34&gt;=12,Y34&gt;=12,AH34&gt;=6,AL34&gt;=24,AM34&gt;=60),"Зачет","Незачет")</f>
        <v>Незачет</v>
      </c>
    </row>
    <row r="35" customFormat="false" ht="1.5" hidden="false" customHeight="true" outlineLevel="0" collapsed="false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53"/>
      <c r="AJ35" s="47"/>
      <c r="AK35" s="47"/>
      <c r="AL35" s="47"/>
      <c r="AM35" s="47"/>
      <c r="AN35" s="47"/>
    </row>
    <row r="36" customFormat="false" ht="15.75" hidden="false" customHeight="false" outlineLevel="0" collapsed="false">
      <c r="A36" s="2"/>
      <c r="S36" s="37"/>
      <c r="T36" s="55"/>
      <c r="U36" s="37"/>
      <c r="V36" s="37"/>
      <c r="W36" s="37"/>
      <c r="X36" s="37"/>
      <c r="Y36" s="37"/>
      <c r="Z36" s="56"/>
      <c r="AA36" s="37"/>
      <c r="AB36" s="37"/>
      <c r="AC36" s="57"/>
      <c r="AE36" s="2"/>
      <c r="AG36" s="2"/>
      <c r="AH36" s="37"/>
      <c r="AI36" s="58"/>
      <c r="AJ36" s="59"/>
      <c r="AK36" s="37"/>
      <c r="AL36" s="37"/>
      <c r="AM36" s="19"/>
      <c r="AN36" s="60"/>
    </row>
    <row r="37" customFormat="false" ht="15.75" hidden="false" customHeight="false" outlineLevel="0" collapsed="false">
      <c r="A37" s="2"/>
      <c r="B37" s="2" t="s">
        <v>26</v>
      </c>
      <c r="C37" s="2"/>
      <c r="D37" s="2"/>
      <c r="E37" s="37" t="n">
        <f aca="false">COUNTIF(E$3:E$34, "~**")</f>
        <v>0</v>
      </c>
      <c r="F37" s="37" t="n">
        <f aca="false">COUNTIF(F$3:F$34, "~**")</f>
        <v>7</v>
      </c>
      <c r="G37" s="37" t="n">
        <f aca="false">COUNTIF(G$3:G$34, "~**")</f>
        <v>6</v>
      </c>
      <c r="H37" s="37" t="n">
        <f aca="false">COUNTIF(H$3:H$34, "~**")</f>
        <v>0</v>
      </c>
      <c r="I37" s="37" t="n">
        <f aca="false">COUNTIF(I$3:I$34, "~**")</f>
        <v>5</v>
      </c>
      <c r="J37" s="37" t="n">
        <f aca="false">COUNTIF(J$3:J$34, "~**")</f>
        <v>3</v>
      </c>
      <c r="K37" s="37" t="n">
        <f aca="false">COUNTIF(K$3:K$34, "~**")</f>
        <v>3</v>
      </c>
      <c r="L37" s="37" t="n">
        <f aca="false">COUNTIF(L$3:L$34, "~**")</f>
        <v>14</v>
      </c>
      <c r="M37" s="54" t="n">
        <f aca="false">COUNTIF(M$3:M$34, "~**")</f>
        <v>9</v>
      </c>
      <c r="N37" s="54" t="n">
        <f aca="false">COUNTIF(N$3:N$34, "~**")</f>
        <v>12</v>
      </c>
      <c r="O37" s="54" t="n">
        <f aca="false">COUNTIF(O$3:O$34, "~**")</f>
        <v>6</v>
      </c>
      <c r="P37" s="55"/>
      <c r="Q37" s="2" t="s">
        <v>27</v>
      </c>
      <c r="R37" s="2"/>
      <c r="S37" s="37" t="n">
        <f aca="false">S38*0.6</f>
        <v>12</v>
      </c>
      <c r="T37" s="55"/>
      <c r="U37" s="37"/>
      <c r="V37" s="37"/>
      <c r="W37" s="37"/>
      <c r="X37" s="37"/>
      <c r="Y37" s="37" t="n">
        <f aca="false">Y38*0.6</f>
        <v>12</v>
      </c>
      <c r="Z37" s="56"/>
      <c r="AA37" s="37" t="n">
        <v>0</v>
      </c>
      <c r="AB37" s="37" t="n">
        <v>0</v>
      </c>
      <c r="AC37" s="57"/>
      <c r="AE37" s="2" t="n">
        <v>3</v>
      </c>
      <c r="AG37" s="2" t="n">
        <v>3</v>
      </c>
      <c r="AH37" s="37" t="n">
        <v>6</v>
      </c>
      <c r="AI37" s="58"/>
      <c r="AJ37" s="59"/>
      <c r="AK37" s="37" t="n">
        <v>0</v>
      </c>
      <c r="AL37" s="37" t="n">
        <v>24</v>
      </c>
      <c r="AM37" s="19" t="n">
        <f aca="false">S37+Y37+AA37+AB37+AH37+AL37</f>
        <v>54</v>
      </c>
      <c r="AN37" s="60"/>
    </row>
    <row r="38" customFormat="false" ht="15.75" hidden="false" customHeight="false" outlineLevel="0" collapsed="false">
      <c r="A38" s="2"/>
      <c r="B38" s="2" t="s">
        <v>28</v>
      </c>
      <c r="C38" s="2"/>
      <c r="D38" s="2"/>
      <c r="E38" s="37" t="n">
        <f aca="false">COUNTIF(E$3:E$34, "~**")+COUNTIF(E$3:E$34, "Y")</f>
        <v>25</v>
      </c>
      <c r="F38" s="37" t="n">
        <f aca="false">COUNTIF(F$3:F$34, "~**")+COUNTIF(F$3:F$34, "Y")</f>
        <v>24</v>
      </c>
      <c r="G38" s="37" t="n">
        <f aca="false">COUNTIF(G$3:G$34, "~**")+COUNTIF(G$3:G$34, "Y")</f>
        <v>25</v>
      </c>
      <c r="H38" s="37" t="n">
        <f aca="false">COUNTIF(H$3:H$34, "~**")+COUNTIF(H$3:H$34, "Y")</f>
        <v>12</v>
      </c>
      <c r="I38" s="37" t="n">
        <f aca="false">COUNTIF(I$3:I$34, "~**")+COUNTIF(I$3:I$34, "Y")</f>
        <v>5</v>
      </c>
      <c r="J38" s="37" t="n">
        <f aca="false">COUNTIF(J$3:J$34, "~**")+COUNTIF(J$3:J$34, "Y")</f>
        <v>19</v>
      </c>
      <c r="K38" s="37" t="n">
        <f aca="false">COUNTIF(K$3:K$34, "~**")+COUNTIF(K$3:K$34, "Y")</f>
        <v>7</v>
      </c>
      <c r="L38" s="37" t="n">
        <f aca="false">COUNTIF(L$3:L$34, "~**")+COUNTIF(L$3:L$34, "Y")</f>
        <v>18</v>
      </c>
      <c r="M38" s="54" t="n">
        <f aca="false">COUNTIF(M$3:M$34, "~**")+COUNTIF(M$3:M$34, "Y")</f>
        <v>16</v>
      </c>
      <c r="N38" s="54" t="n">
        <f aca="false">COUNTIF(N$3:N$34, "~**")+COUNTIF(N$3:N$34, "Y")</f>
        <v>12</v>
      </c>
      <c r="O38" s="54" t="n">
        <f aca="false">COUNTIF(O$3:O$34, "~**")+COUNTIF(O$3:O$34, "Y")</f>
        <v>6</v>
      </c>
      <c r="P38" s="55"/>
      <c r="Q38" s="2" t="s">
        <v>29</v>
      </c>
      <c r="R38" s="2"/>
      <c r="S38" s="37" t="n">
        <v>20</v>
      </c>
      <c r="T38" s="55"/>
      <c r="U38" s="37"/>
      <c r="V38" s="37"/>
      <c r="W38" s="37"/>
      <c r="X38" s="37"/>
      <c r="Y38" s="37" t="n">
        <v>20</v>
      </c>
      <c r="Z38" s="56"/>
      <c r="AA38" s="37" t="n">
        <v>5</v>
      </c>
      <c r="AB38" s="37" t="n">
        <v>5</v>
      </c>
      <c r="AC38" s="57"/>
      <c r="AE38" s="2" t="n">
        <v>5</v>
      </c>
      <c r="AG38" s="2" t="n">
        <v>5</v>
      </c>
      <c r="AH38" s="37" t="n">
        <v>10</v>
      </c>
      <c r="AI38" s="58"/>
      <c r="AJ38" s="59"/>
      <c r="AK38" s="37" t="n">
        <v>3</v>
      </c>
      <c r="AL38" s="37" t="n">
        <v>40</v>
      </c>
      <c r="AM38" s="19" t="n">
        <f aca="false">SUM(S38,Y38,AA38:AB38,AH38,AK38:AL38,)</f>
        <v>103</v>
      </c>
      <c r="AN38" s="60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47"/>
      <c r="Q39" s="2"/>
      <c r="R39" s="2"/>
      <c r="S39" s="61"/>
      <c r="T39" s="62"/>
      <c r="U39" s="61"/>
      <c r="V39" s="61"/>
      <c r="W39" s="61"/>
      <c r="X39" s="61"/>
      <c r="Y39" s="61"/>
      <c r="Z39" s="63"/>
      <c r="AA39" s="2"/>
      <c r="AB39" s="2"/>
      <c r="AC39" s="57"/>
      <c r="AH39" s="61"/>
      <c r="AI39" s="64"/>
      <c r="AJ39" s="65"/>
      <c r="AK39" s="2"/>
      <c r="AL39" s="2"/>
      <c r="AM39" s="66"/>
      <c r="AN39" s="2"/>
    </row>
    <row r="40" customFormat="false" ht="15.75" hidden="false" customHeight="false" outlineLevel="0" collapsed="false">
      <c r="A40" s="2"/>
      <c r="B40" s="2"/>
      <c r="C40" s="2"/>
      <c r="D40" s="2"/>
      <c r="E40" s="2" t="s">
        <v>30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47"/>
      <c r="Q40" s="2" t="s">
        <v>31</v>
      </c>
      <c r="R40" s="2"/>
      <c r="S40" s="61" t="n">
        <f aca="false">IFERROR(COUNTA(S$3:S34)/COUNTA($B$3:$B$34), 0)</f>
        <v>0.84375</v>
      </c>
      <c r="T40" s="62"/>
      <c r="U40" s="61"/>
      <c r="V40" s="61"/>
      <c r="W40" s="61"/>
      <c r="X40" s="61"/>
      <c r="Y40" s="61" t="n">
        <f aca="false">IFERROR(COUNTA(Y$3:Y34)/COUNTA($B$3:$B$34), 0)</f>
        <v>0.78125</v>
      </c>
      <c r="Z40" s="63"/>
      <c r="AA40" s="2"/>
      <c r="AB40" s="2"/>
      <c r="AC40" s="57"/>
      <c r="AE40" s="61" t="n">
        <f aca="false">IFERROR(COUNTIF(AE$3:AE34, "&gt;0")/COUNTA($B$3:$B$27), 0)</f>
        <v>1.04</v>
      </c>
      <c r="AG40" s="61" t="n">
        <f aca="false">IFERROR(COUNTIF(AG$3:AG34, "&gt;0")/COUNTA($B$3:$B$27), 0)</f>
        <v>1</v>
      </c>
      <c r="AH40" s="61" t="n">
        <f aca="false">IFERROR(COUNTIF(AH$3:AH34, "&gt;0")/COUNTA($B$3:$B$27), 0)</f>
        <v>1.04</v>
      </c>
      <c r="AI40" s="64"/>
      <c r="AJ40" s="65"/>
      <c r="AK40" s="2"/>
      <c r="AL40" s="61" t="n">
        <f aca="false">IFERROR(COUNTIF(AL$3:AL34, "&gt;24")/COUNTA($B$3:$B$27), 0)</f>
        <v>0.64</v>
      </c>
      <c r="AM40" s="66"/>
      <c r="AN40" s="2"/>
    </row>
    <row r="41" customFormat="false" ht="15.75" hidden="false" customHeight="false" outlineLevel="0" collapsed="false">
      <c r="A41" s="2"/>
      <c r="B41" s="2"/>
      <c r="C41" s="2"/>
      <c r="D41" s="2"/>
      <c r="E41" s="2" t="s">
        <v>32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47"/>
      <c r="Q41" s="2"/>
      <c r="R41" s="2"/>
      <c r="S41" s="2"/>
      <c r="T41" s="47"/>
      <c r="U41" s="2"/>
      <c r="V41" s="2"/>
      <c r="W41" s="2"/>
      <c r="X41" s="2"/>
      <c r="Y41" s="2"/>
      <c r="Z41" s="63"/>
      <c r="AA41" s="2"/>
      <c r="AB41" s="2"/>
      <c r="AC41" s="63"/>
      <c r="AD41" s="2"/>
      <c r="AE41" s="2"/>
      <c r="AF41" s="2"/>
      <c r="AG41" s="2"/>
      <c r="AH41" s="2"/>
      <c r="AI41" s="64"/>
      <c r="AJ41" s="65"/>
      <c r="AK41" s="2"/>
      <c r="AL41" s="2"/>
      <c r="AM41" s="66"/>
      <c r="AN41" s="2"/>
    </row>
    <row r="42" customFormat="false" ht="15.75" hidden="false" customHeight="false" outlineLevel="0" collapsed="false">
      <c r="A42" s="67"/>
      <c r="B42" s="67"/>
      <c r="C42" s="2"/>
      <c r="D42" s="2"/>
      <c r="E42" s="2" t="s">
        <v>33</v>
      </c>
      <c r="F42" s="2"/>
      <c r="G42" s="2"/>
      <c r="H42" s="2"/>
      <c r="I42" s="2"/>
      <c r="J42" s="2"/>
      <c r="K42" s="2"/>
      <c r="L42" s="2" t="s">
        <v>34</v>
      </c>
      <c r="M42" s="2"/>
      <c r="N42" s="2"/>
      <c r="O42" s="2"/>
      <c r="P42" s="47"/>
      <c r="Q42" s="2"/>
      <c r="R42" s="2"/>
      <c r="S42" s="2"/>
      <c r="T42" s="47"/>
      <c r="U42" s="2"/>
      <c r="V42" s="2"/>
      <c r="W42" s="2"/>
      <c r="X42" s="2"/>
      <c r="Y42" s="2"/>
      <c r="Z42" s="63"/>
      <c r="AA42" s="2"/>
      <c r="AB42" s="2"/>
      <c r="AC42" s="63"/>
      <c r="AD42" s="2"/>
      <c r="AE42" s="2"/>
      <c r="AF42" s="2"/>
      <c r="AG42" s="2"/>
      <c r="AH42" s="2"/>
      <c r="AI42" s="64"/>
      <c r="AJ42" s="65"/>
      <c r="AK42" s="2"/>
      <c r="AL42" s="2"/>
      <c r="AM42" s="66"/>
      <c r="AN42" s="2"/>
    </row>
    <row r="43" customFormat="false" ht="15.75" hidden="false" customHeight="false" outlineLevel="0" collapsed="false">
      <c r="E43" s="2" t="s">
        <v>35</v>
      </c>
      <c r="P43" s="68"/>
      <c r="T43" s="68"/>
      <c r="Z43" s="57"/>
      <c r="AC43" s="57"/>
      <c r="AI43" s="69"/>
      <c r="AJ43" s="70"/>
      <c r="AM43" s="71"/>
    </row>
    <row r="44" customFormat="false" ht="15.75" hidden="false" customHeight="false" outlineLevel="0" collapsed="false">
      <c r="E44" s="2" t="s">
        <v>36</v>
      </c>
      <c r="P44" s="68"/>
      <c r="T44" s="68"/>
      <c r="Z44" s="57"/>
      <c r="AC44" s="57"/>
      <c r="AI44" s="69"/>
      <c r="AJ44" s="70"/>
      <c r="AM44" s="71"/>
    </row>
    <row r="45" customFormat="false" ht="15.75" hidden="false" customHeight="false" outlineLevel="0" collapsed="false">
      <c r="P45" s="68"/>
      <c r="T45" s="68"/>
      <c r="Z45" s="57"/>
      <c r="AC45" s="57"/>
      <c r="AI45" s="69"/>
      <c r="AJ45" s="70"/>
      <c r="AM45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34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34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34">
    <cfRule type="cellIs" priority="5" operator="equal" aboveAverage="0" equalAverage="0" bottom="0" percent="0" rank="0" text="" dxfId="3">
      <formula>"N"</formula>
    </cfRule>
  </conditionalFormatting>
  <conditionalFormatting sqref="S3:S34 Y3:AB34 AH3:AH34 AK3:AL34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34">
    <cfRule type="expression" priority="7" aboveAverage="0" equalAverage="0" bottom="0" percent="0" rank="0" text="" dxfId="5">
      <formula>R3&gt;45230</formula>
    </cfRule>
  </conditionalFormatting>
  <conditionalFormatting sqref="V3:X34 AC3:AG34 R4 R7 R12:R13 R19:R20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7.75"/>
    <col collapsed="false" customWidth="true" hidden="false" outlineLevel="0" max="2" min="2" style="0" width="8.75"/>
    <col collapsed="false" customWidth="true" hidden="false" outlineLevel="0" max="3" min="3" style="0" width="48.63"/>
    <col collapsed="false" customWidth="true" hidden="false" outlineLevel="0" max="4" min="4" style="0" width="11.89"/>
    <col collapsed="false" customWidth="true" hidden="false" outlineLevel="0" max="6" min="5" style="0" width="16.89"/>
    <col collapsed="false" customWidth="true" hidden="false" outlineLevel="0" max="10" min="9" style="0" width="15.88"/>
    <col collapsed="false" customWidth="true" hidden="false" outlineLevel="0" max="12" min="11" style="0" width="16.12"/>
    <col collapsed="false" customWidth="true" hidden="false" outlineLevel="0" max="13" min="13" style="0" width="14.38"/>
    <col collapsed="false" customWidth="true" hidden="false" outlineLevel="0" max="14" min="14" style="0" width="14.51"/>
    <col collapsed="false" customWidth="true" hidden="false" outlineLevel="0" max="15" min="15" style="0" width="17.88"/>
    <col collapsed="false" customWidth="true" hidden="false" outlineLevel="0" max="16" min="16" style="0" width="18"/>
    <col collapsed="false" customWidth="true" hidden="false" outlineLevel="0" max="17" min="17" style="0" width="23.88"/>
  </cols>
  <sheetData>
    <row r="1" customFormat="false" ht="48.5" hidden="false" customHeight="false" outlineLevel="0" collapsed="false">
      <c r="A1" s="80" t="s">
        <v>62</v>
      </c>
      <c r="B1" s="80" t="s">
        <v>63</v>
      </c>
      <c r="C1" s="80" t="s">
        <v>64</v>
      </c>
      <c r="D1" s="81" t="s">
        <v>65</v>
      </c>
      <c r="E1" s="82" t="s">
        <v>66</v>
      </c>
      <c r="F1" s="82"/>
      <c r="G1" s="83" t="s">
        <v>67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72</v>
      </c>
      <c r="M1" s="83" t="s">
        <v>73</v>
      </c>
      <c r="N1" s="83" t="s">
        <v>74</v>
      </c>
      <c r="O1" s="83" t="s">
        <v>75</v>
      </c>
      <c r="P1" s="83" t="s">
        <v>76</v>
      </c>
      <c r="Q1" s="83" t="s">
        <v>77</v>
      </c>
      <c r="R1" s="83" t="s">
        <v>3</v>
      </c>
      <c r="S1" s="83" t="s">
        <v>4</v>
      </c>
      <c r="T1" s="83" t="s">
        <v>5</v>
      </c>
      <c r="U1" s="83" t="s">
        <v>6</v>
      </c>
      <c r="V1" s="83" t="s">
        <v>78</v>
      </c>
      <c r="W1" s="83" t="s">
        <v>11</v>
      </c>
      <c r="X1" s="83" t="s">
        <v>79</v>
      </c>
      <c r="Y1" s="83" t="s">
        <v>13</v>
      </c>
      <c r="Z1" s="84"/>
    </row>
    <row r="2" customFormat="false" ht="17.9" hidden="false" customHeight="false" outlineLevel="0" collapsed="false">
      <c r="A2" s="85" t="n">
        <v>1</v>
      </c>
      <c r="B2" s="85" t="n">
        <v>464900</v>
      </c>
      <c r="C2" s="86" t="s">
        <v>80</v>
      </c>
      <c r="D2" s="87" t="s">
        <v>81</v>
      </c>
      <c r="E2" s="88" t="str">
        <f aca="false">D2</f>
        <v>P3108</v>
      </c>
      <c r="F2" s="88" t="str">
        <f aca="false">REPLACE(E2, 1, 3, "")</f>
        <v>08</v>
      </c>
      <c r="G2" s="89" t="n">
        <f aca="true">IFERROR(VLOOKUP(B2,INDIRECT("'"&amp;$F2&amp;"'!D3:D"),1,FALSE()), "Not found")</f>
        <v>464900</v>
      </c>
      <c r="H2" s="89" t="n">
        <f aca="true">INDIRECT("'"&amp;$F2&amp;"'!D1")</f>
        <v>0</v>
      </c>
      <c r="I2" s="89" t="str">
        <f aca="false">IFERROR(__xludf.dummyfunction("REGEXEXTRACT(ADDRESS(ROW(), 19+$H2), ""[A-Z]+"")"),"S")</f>
        <v>S</v>
      </c>
      <c r="J2" s="89" t="str">
        <f aca="false">IFERROR(__xludf.dummyfunction("REGEXEXTRACT(ADDRESS(ROW(), 25+$H2), ""[A-Z]+"")"),"Y")</f>
        <v>Y</v>
      </c>
      <c r="K2" s="89" t="str">
        <f aca="false">IFERROR(__xludf.dummyfunction("REGEXEXTRACT(ADDRESS(ROW(), 27+$H2), ""[A-Z]+"")"),"AA")</f>
        <v>AA</v>
      </c>
      <c r="L2" s="89" t="str">
        <f aca="false">IFERROR(__xludf.dummyfunction("REGEXEXTRACT(ADDRESS(ROW(), 28+$H2), ""[A-Z]+"")"),"AB")</f>
        <v>AB</v>
      </c>
      <c r="M2" s="89" t="str">
        <f aca="false">IFERROR(__xludf.dummyfunction("REGEXEXTRACT(ADDRESS(ROW(), 34+$H2), ""[A-Z]+"")"),"AH")</f>
        <v>AH</v>
      </c>
      <c r="N2" s="89" t="str">
        <f aca="false">IFERROR(__xludf.dummyfunction("REGEXEXTRACT(ADDRESS(ROW(), 37+$H2), ""[A-Z]+"")"),"AK")</f>
        <v>AK</v>
      </c>
      <c r="O2" s="89" t="str">
        <f aca="false">IFERROR(__xludf.dummyfunction("REGEXEXTRACT(ADDRESS(ROW(), 38+$H2), ""[A-Z]+"")"),"AL")</f>
        <v>AL</v>
      </c>
      <c r="P2" s="89" t="str">
        <f aca="false">IFERROR(__xludf.dummyfunction("REGEXEXTRACT(ADDRESS(ROW(), 39+$H2), ""[A-Z]+"")"),"AM")</f>
        <v>AM</v>
      </c>
      <c r="Q2" s="89" t="str">
        <f aca="false">IFERROR(__xludf.dummyfunction("REGEXEXTRACT(ADDRESS(ROW(), 40+$H2), ""[A-Z]+"")"),"AN")</f>
        <v>AN</v>
      </c>
      <c r="R2" s="89" t="n">
        <f aca="false">IFERROR(__xludf.dummyfunction("IFERROR(QUERY(INDIRECT(""'""&amp;$F2&amp;""'!C3:""&amp;Q2&amp;""""), ""SELECT ""&amp;I2&amp;"", ""&amp;J2&amp;"", ""&amp;K2&amp;"", ""&amp;L2&amp;"", ""&amp;M2&amp;"", ""&amp;N2&amp;"", ""&amp;O2&amp;"", ""&amp;P2&amp;"" WHERE '""&amp;B2&amp;""' CONTAINS D"", 0), """")"),20)</f>
        <v>20</v>
      </c>
      <c r="S2" s="89" t="n">
        <f aca="false">IFERROR(__xludf.dummyfunction("""COMPUTED_VALUE"""),20)</f>
        <v>20</v>
      </c>
      <c r="T2" s="89"/>
      <c r="U2" s="89"/>
      <c r="V2" s="89" t="n">
        <f aca="false">IFERROR(__xludf.dummyfunction("""COMPUTED_VALUE"""),10)</f>
        <v>10</v>
      </c>
      <c r="W2" s="89"/>
      <c r="X2" s="89" t="n">
        <f aca="false">IFERROR(__xludf.dummyfunction("""COMPUTED_VALUE"""),40)</f>
        <v>40</v>
      </c>
      <c r="Y2" s="89" t="n">
        <f aca="false">IFERROR(__xludf.dummyfunction("""COMPUTED_VALUE"""),90)</f>
        <v>90</v>
      </c>
    </row>
    <row r="3" customFormat="false" ht="17.9" hidden="false" customHeight="false" outlineLevel="0" collapsed="false">
      <c r="A3" s="85" t="n">
        <v>2</v>
      </c>
      <c r="B3" s="85" t="n">
        <v>471628</v>
      </c>
      <c r="C3" s="86" t="s">
        <v>82</v>
      </c>
      <c r="D3" s="87" t="s">
        <v>83</v>
      </c>
      <c r="E3" s="88" t="str">
        <f aca="false">D3</f>
        <v>P3109</v>
      </c>
      <c r="F3" s="88" t="str">
        <f aca="false">REPLACE(E3, 1, 3, "")</f>
        <v>09</v>
      </c>
      <c r="G3" s="89" t="n">
        <f aca="true">IFERROR(VLOOKUP(B3,INDIRECT("'"&amp;$F3&amp;"'!D3:D"),1,FALSE()), "Not found")</f>
        <v>471628</v>
      </c>
      <c r="H3" s="89" t="n">
        <f aca="true">INDIRECT("'"&amp;$F3&amp;"'!D1")</f>
        <v>0</v>
      </c>
      <c r="I3" s="89" t="str">
        <f aca="false">IFERROR(__xludf.dummyfunction("REGEXEXTRACT(ADDRESS(ROW(), 19+$H3), ""[A-Z]+"")"),"S")</f>
        <v>S</v>
      </c>
      <c r="J3" s="89" t="str">
        <f aca="false">IFERROR(__xludf.dummyfunction("REGEXEXTRACT(ADDRESS(ROW(), 25+$H3), ""[A-Z]+"")"),"Y")</f>
        <v>Y</v>
      </c>
      <c r="K3" s="89" t="str">
        <f aca="false">IFERROR(__xludf.dummyfunction("REGEXEXTRACT(ADDRESS(ROW(), 27+$H3), ""[A-Z]+"")"),"AA")</f>
        <v>AA</v>
      </c>
      <c r="L3" s="89" t="str">
        <f aca="false">IFERROR(__xludf.dummyfunction("REGEXEXTRACT(ADDRESS(ROW(), 28+$H3), ""[A-Z]+"")"),"AB")</f>
        <v>AB</v>
      </c>
      <c r="M3" s="89" t="str">
        <f aca="false">IFERROR(__xludf.dummyfunction("REGEXEXTRACT(ADDRESS(ROW(), 34+$H3), ""[A-Z]+"")"),"AH")</f>
        <v>AH</v>
      </c>
      <c r="N3" s="89" t="str">
        <f aca="false">IFERROR(__xludf.dummyfunction("REGEXEXTRACT(ADDRESS(ROW(), 37+$H3), ""[A-Z]+"")"),"AK")</f>
        <v>AK</v>
      </c>
      <c r="O3" s="89" t="str">
        <f aca="false">IFERROR(__xludf.dummyfunction("REGEXEXTRACT(ADDRESS(ROW(), 38+$H3), ""[A-Z]+"")"),"AL")</f>
        <v>AL</v>
      </c>
      <c r="P3" s="89" t="str">
        <f aca="false">IFERROR(__xludf.dummyfunction("REGEXEXTRACT(ADDRESS(ROW(), 39+$H3), ""[A-Z]+"")"),"AM")</f>
        <v>AM</v>
      </c>
      <c r="Q3" s="89" t="str">
        <f aca="false">IFERROR(__xludf.dummyfunction("REGEXEXTRACT(ADDRESS(ROW(), 40+$H3), ""[A-Z]+"")"),"AN")</f>
        <v>AN</v>
      </c>
      <c r="R3" s="89" t="str">
        <f aca="false">IFERROR(__xludf.dummyfunction("IFERROR(QUERY(INDIRECT(""'""&amp;$F3&amp;""'!C3:""&amp;Q3&amp;""""), ""SELECT ""&amp;I3&amp;"", ""&amp;J3&amp;"", ""&amp;K3&amp;"", ""&amp;L3&amp;"", ""&amp;M3&amp;"", ""&amp;N3&amp;"", ""&amp;O3&amp;"", ""&amp;P3&amp;"" WHERE '""&amp;B3&amp;""' CONTAINS D"", 0), """")"),"")</f>
        <v/>
      </c>
      <c r="S3" s="89"/>
      <c r="T3" s="89"/>
      <c r="U3" s="89"/>
      <c r="V3" s="89" t="n">
        <f aca="false">IFERROR(__xludf.dummyfunction("""COMPUTED_VALUE"""),0.1)</f>
        <v>0.1</v>
      </c>
      <c r="W3" s="89"/>
      <c r="X3" s="89"/>
      <c r="Y3" s="89" t="n">
        <f aca="false">IFERROR(__xludf.dummyfunction("""COMPUTED_VALUE"""),0.1)</f>
        <v>0.1</v>
      </c>
    </row>
    <row r="4" customFormat="false" ht="17.9" hidden="false" customHeight="false" outlineLevel="0" collapsed="false">
      <c r="A4" s="85" t="n">
        <v>3</v>
      </c>
      <c r="B4" s="85" t="n">
        <v>464902</v>
      </c>
      <c r="C4" s="86" t="s">
        <v>84</v>
      </c>
      <c r="D4" s="87" t="s">
        <v>85</v>
      </c>
      <c r="E4" s="88" t="str">
        <f aca="false">D4</f>
        <v>P3132</v>
      </c>
      <c r="F4" s="88" t="str">
        <f aca="false">REPLACE(E4, 1, 3, "")</f>
        <v>32</v>
      </c>
      <c r="G4" s="89" t="n">
        <f aca="true">IFERROR(VLOOKUP(B4,INDIRECT("'"&amp;$F4&amp;"'!D3:D"),1,FALSE()), "Not found")</f>
        <v>464902</v>
      </c>
      <c r="H4" s="89" t="n">
        <f aca="true">INDIRECT("'"&amp;$F4&amp;"'!D1")</f>
        <v>0</v>
      </c>
      <c r="I4" s="89" t="str">
        <f aca="false">IFERROR(__xludf.dummyfunction("REGEXEXTRACT(ADDRESS(ROW(), 19+$H4), ""[A-Z]+"")"),"S")</f>
        <v>S</v>
      </c>
      <c r="J4" s="89" t="str">
        <f aca="false">IFERROR(__xludf.dummyfunction("REGEXEXTRACT(ADDRESS(ROW(), 25+$H4), ""[A-Z]+"")"),"Y")</f>
        <v>Y</v>
      </c>
      <c r="K4" s="89" t="str">
        <f aca="false">IFERROR(__xludf.dummyfunction("REGEXEXTRACT(ADDRESS(ROW(), 27+$H4), ""[A-Z]+"")"),"AA")</f>
        <v>AA</v>
      </c>
      <c r="L4" s="89" t="str">
        <f aca="false">IFERROR(__xludf.dummyfunction("REGEXEXTRACT(ADDRESS(ROW(), 28+$H4), ""[A-Z]+"")"),"AB")</f>
        <v>AB</v>
      </c>
      <c r="M4" s="89" t="str">
        <f aca="false">IFERROR(__xludf.dummyfunction("REGEXEXTRACT(ADDRESS(ROW(), 34+$H4), ""[A-Z]+"")"),"AH")</f>
        <v>AH</v>
      </c>
      <c r="N4" s="89" t="str">
        <f aca="false">IFERROR(__xludf.dummyfunction("REGEXEXTRACT(ADDRESS(ROW(), 37+$H4), ""[A-Z]+"")"),"AK")</f>
        <v>AK</v>
      </c>
      <c r="O4" s="89" t="str">
        <f aca="false">IFERROR(__xludf.dummyfunction("REGEXEXTRACT(ADDRESS(ROW(), 38+$H4), ""[A-Z]+"")"),"AL")</f>
        <v>AL</v>
      </c>
      <c r="P4" s="89" t="str">
        <f aca="false">IFERROR(__xludf.dummyfunction("REGEXEXTRACT(ADDRESS(ROW(), 39+$H4), ""[A-Z]+"")"),"AM")</f>
        <v>AM</v>
      </c>
      <c r="Q4" s="89" t="str">
        <f aca="false">IFERROR(__xludf.dummyfunction("REGEXEXTRACT(ADDRESS(ROW(), 40+$H4), ""[A-Z]+"")"),"AN")</f>
        <v>AN</v>
      </c>
      <c r="R4" s="89" t="str">
        <f aca="false">IFERROR(__xludf.dummyfunction("IFERROR(QUERY(INDIRECT(""'""&amp;$F4&amp;""'!C3:""&amp;Q4&amp;""""), ""SELECT ""&amp;I4&amp;"", ""&amp;J4&amp;"", ""&amp;K4&amp;"", ""&amp;L4&amp;"", ""&amp;M4&amp;"", ""&amp;N4&amp;"", ""&amp;O4&amp;"", ""&amp;P4&amp;"" WHERE '""&amp;B4&amp;""' CONTAINS D"", 0), """")"),"")</f>
        <v/>
      </c>
      <c r="S4" s="89"/>
      <c r="T4" s="89"/>
      <c r="U4" s="89"/>
      <c r="V4" s="89" t="n">
        <f aca="false">IFERROR(__xludf.dummyfunction("""COMPUTED_VALUE"""),0)</f>
        <v>0</v>
      </c>
      <c r="W4" s="89"/>
      <c r="X4" s="89"/>
      <c r="Y4" s="89" t="n">
        <f aca="false">IFERROR(__xludf.dummyfunction("""COMPUTED_VALUE"""),0)</f>
        <v>0</v>
      </c>
    </row>
    <row r="5" customFormat="false" ht="17.9" hidden="false" customHeight="false" outlineLevel="0" collapsed="false">
      <c r="A5" s="85" t="n">
        <v>4</v>
      </c>
      <c r="B5" s="85" t="n">
        <v>464904</v>
      </c>
      <c r="C5" s="86" t="s">
        <v>86</v>
      </c>
      <c r="D5" s="87" t="s">
        <v>87</v>
      </c>
      <c r="E5" s="88" t="str">
        <f aca="false">D5</f>
        <v>P3130</v>
      </c>
      <c r="F5" s="88" t="str">
        <f aca="false">REPLACE(E5, 1, 3, "")</f>
        <v>30</v>
      </c>
      <c r="G5" s="89" t="n">
        <f aca="true">IFERROR(VLOOKUP(B5,INDIRECT("'"&amp;$F5&amp;"'!D3:D"),1,FALSE()), "Not found")</f>
        <v>464904</v>
      </c>
      <c r="H5" s="89" t="n">
        <f aca="true">INDIRECT("'"&amp;$F5&amp;"'!D1")</f>
        <v>0</v>
      </c>
      <c r="I5" s="89" t="str">
        <f aca="false">IFERROR(__xludf.dummyfunction("REGEXEXTRACT(ADDRESS(ROW(), 19+$H5), ""[A-Z]+"")"),"S")</f>
        <v>S</v>
      </c>
      <c r="J5" s="89" t="str">
        <f aca="false">IFERROR(__xludf.dummyfunction("REGEXEXTRACT(ADDRESS(ROW(), 25+$H5), ""[A-Z]+"")"),"Y")</f>
        <v>Y</v>
      </c>
      <c r="K5" s="89" t="str">
        <f aca="false">IFERROR(__xludf.dummyfunction("REGEXEXTRACT(ADDRESS(ROW(), 27+$H5), ""[A-Z]+"")"),"AA")</f>
        <v>AA</v>
      </c>
      <c r="L5" s="89" t="str">
        <f aca="false">IFERROR(__xludf.dummyfunction("REGEXEXTRACT(ADDRESS(ROW(), 28+$H5), ""[A-Z]+"")"),"AB")</f>
        <v>AB</v>
      </c>
      <c r="M5" s="89" t="str">
        <f aca="false">IFERROR(__xludf.dummyfunction("REGEXEXTRACT(ADDRESS(ROW(), 34+$H5), ""[A-Z]+"")"),"AH")</f>
        <v>AH</v>
      </c>
      <c r="N5" s="89" t="str">
        <f aca="false">IFERROR(__xludf.dummyfunction("REGEXEXTRACT(ADDRESS(ROW(), 37+$H5), ""[A-Z]+"")"),"AK")</f>
        <v>AK</v>
      </c>
      <c r="O5" s="89" t="str">
        <f aca="false">IFERROR(__xludf.dummyfunction("REGEXEXTRACT(ADDRESS(ROW(), 38+$H5), ""[A-Z]+"")"),"AL")</f>
        <v>AL</v>
      </c>
      <c r="P5" s="89" t="str">
        <f aca="false">IFERROR(__xludf.dummyfunction("REGEXEXTRACT(ADDRESS(ROW(), 39+$H5), ""[A-Z]+"")"),"AM")</f>
        <v>AM</v>
      </c>
      <c r="Q5" s="89" t="str">
        <f aca="false">IFERROR(__xludf.dummyfunction("REGEXEXTRACT(ADDRESS(ROW(), 40+$H5), ""[A-Z]+"")"),"AN")</f>
        <v>AN</v>
      </c>
      <c r="R5" s="89" t="n">
        <f aca="false">IFERROR(__xludf.dummyfunction("IFERROR(QUERY(INDIRECT(""'""&amp;$F5&amp;""'!C3:""&amp;Q5&amp;""""), ""SELECT ""&amp;I5&amp;"", ""&amp;J5&amp;"", ""&amp;K5&amp;"", ""&amp;L5&amp;"", ""&amp;M5&amp;"", ""&amp;N5&amp;"", ""&amp;O5&amp;"", ""&amp;P5&amp;"" WHERE '""&amp;B5&amp;""' CONTAINS D"", 0), """")"),12)</f>
        <v>12</v>
      </c>
      <c r="S5" s="89" t="n">
        <f aca="false">IFERROR(__xludf.dummyfunction("""COMPUTED_VALUE"""),12)</f>
        <v>12</v>
      </c>
      <c r="T5" s="89"/>
      <c r="U5" s="89"/>
      <c r="V5" s="89" t="n">
        <f aca="false">IFERROR(__xludf.dummyfunction("""COMPUTED_VALUE"""),6)</f>
        <v>6</v>
      </c>
      <c r="W5" s="89"/>
      <c r="X5" s="89" t="n">
        <f aca="false">IFERROR(__xludf.dummyfunction("""COMPUTED_VALUE"""),30)</f>
        <v>30</v>
      </c>
      <c r="Y5" s="89" t="n">
        <f aca="false">IFERROR(__xludf.dummyfunction("""COMPUTED_VALUE"""),60)</f>
        <v>60</v>
      </c>
    </row>
    <row r="6" customFormat="false" ht="17.9" hidden="false" customHeight="false" outlineLevel="0" collapsed="false">
      <c r="A6" s="85" t="n">
        <v>5</v>
      </c>
      <c r="B6" s="85" t="n">
        <v>464905</v>
      </c>
      <c r="C6" s="86" t="s">
        <v>88</v>
      </c>
      <c r="D6" s="87" t="s">
        <v>89</v>
      </c>
      <c r="E6" s="88" t="str">
        <f aca="false">D6</f>
        <v>P3119</v>
      </c>
      <c r="F6" s="88" t="str">
        <f aca="false">REPLACE(E6, 1, 3, "")</f>
        <v>19</v>
      </c>
      <c r="G6" s="89" t="n">
        <f aca="true">IFERROR(VLOOKUP(B6,INDIRECT("'"&amp;$F6&amp;"'!D3:D"),1,FALSE()), "Not found")</f>
        <v>464905</v>
      </c>
      <c r="H6" s="89" t="n">
        <f aca="true">INDIRECT("'"&amp;$F6&amp;"'!D1")</f>
        <v>0</v>
      </c>
      <c r="I6" s="89" t="str">
        <f aca="false">IFERROR(__xludf.dummyfunction("REGEXEXTRACT(ADDRESS(ROW(), 19+$H6), ""[A-Z]+"")"),"S")</f>
        <v>S</v>
      </c>
      <c r="J6" s="89" t="str">
        <f aca="false">IFERROR(__xludf.dummyfunction("REGEXEXTRACT(ADDRESS(ROW(), 25+$H6), ""[A-Z]+"")"),"Y")</f>
        <v>Y</v>
      </c>
      <c r="K6" s="89" t="str">
        <f aca="false">IFERROR(__xludf.dummyfunction("REGEXEXTRACT(ADDRESS(ROW(), 27+$H6), ""[A-Z]+"")"),"AA")</f>
        <v>AA</v>
      </c>
      <c r="L6" s="89" t="str">
        <f aca="false">IFERROR(__xludf.dummyfunction("REGEXEXTRACT(ADDRESS(ROW(), 28+$H6), ""[A-Z]+"")"),"AB")</f>
        <v>AB</v>
      </c>
      <c r="M6" s="89" t="str">
        <f aca="false">IFERROR(__xludf.dummyfunction("REGEXEXTRACT(ADDRESS(ROW(), 34+$H6), ""[A-Z]+"")"),"AH")</f>
        <v>AH</v>
      </c>
      <c r="N6" s="89" t="str">
        <f aca="false">IFERROR(__xludf.dummyfunction("REGEXEXTRACT(ADDRESS(ROW(), 37+$H6), ""[A-Z]+"")"),"AK")</f>
        <v>AK</v>
      </c>
      <c r="O6" s="89" t="str">
        <f aca="false">IFERROR(__xludf.dummyfunction("REGEXEXTRACT(ADDRESS(ROW(), 38+$H6), ""[A-Z]+"")"),"AL")</f>
        <v>AL</v>
      </c>
      <c r="P6" s="89" t="str">
        <f aca="false">IFERROR(__xludf.dummyfunction("REGEXEXTRACT(ADDRESS(ROW(), 39+$H6), ""[A-Z]+"")"),"AM")</f>
        <v>AM</v>
      </c>
      <c r="Q6" s="89" t="str">
        <f aca="false">IFERROR(__xludf.dummyfunction("REGEXEXTRACT(ADDRESS(ROW(), 40+$H6), ""[A-Z]+"")"),"AN")</f>
        <v>AN</v>
      </c>
      <c r="R6" s="89" t="n">
        <f aca="false">IFERROR(__xludf.dummyfunction("IFERROR(QUERY(INDIRECT(""'""&amp;$F6&amp;""'!C3:""&amp;Q6&amp;""""), ""SELECT ""&amp;I6&amp;"", ""&amp;J6&amp;"", ""&amp;K6&amp;"", ""&amp;L6&amp;"", ""&amp;M6&amp;"", ""&amp;N6&amp;"", ""&amp;O6&amp;"", ""&amp;P6&amp;"" WHERE '""&amp;B6&amp;""' CONTAINS D"", 0), """")"),17)</f>
        <v>17</v>
      </c>
      <c r="S6" s="89" t="n">
        <f aca="false">IFERROR(__xludf.dummyfunction("""COMPUTED_VALUE"""),19)</f>
        <v>19</v>
      </c>
      <c r="T6" s="89"/>
      <c r="U6" s="89"/>
      <c r="V6" s="89" t="n">
        <f aca="false">IFERROR(__xludf.dummyfunction("""COMPUTED_VALUE"""),10)</f>
        <v>10</v>
      </c>
      <c r="W6" s="89"/>
      <c r="X6" s="89" t="n">
        <f aca="false">IFERROR(__xludf.dummyfunction("""COMPUTED_VALUE"""),40)</f>
        <v>40</v>
      </c>
      <c r="Y6" s="89" t="n">
        <f aca="false">IFERROR(__xludf.dummyfunction("""COMPUTED_VALUE"""),86)</f>
        <v>86</v>
      </c>
    </row>
    <row r="7" customFormat="false" ht="17.9" hidden="false" customHeight="false" outlineLevel="0" collapsed="false">
      <c r="A7" s="85" t="n">
        <v>6</v>
      </c>
      <c r="B7" s="85" t="n">
        <v>464906</v>
      </c>
      <c r="C7" s="86" t="s">
        <v>90</v>
      </c>
      <c r="D7" s="87" t="s">
        <v>91</v>
      </c>
      <c r="E7" s="88" t="str">
        <f aca="false">D7</f>
        <v>P3111</v>
      </c>
      <c r="F7" s="88" t="str">
        <f aca="false">REPLACE(E7, 1, 3, "")</f>
        <v>11</v>
      </c>
      <c r="G7" s="89" t="n">
        <f aca="true">IFERROR(VLOOKUP(B7,INDIRECT("'"&amp;$F7&amp;"'!D3:D"),1,FALSE()), "Not found")</f>
        <v>464906</v>
      </c>
      <c r="H7" s="89" t="n">
        <f aca="true">INDIRECT("'"&amp;$F7&amp;"'!D1")</f>
        <v>0</v>
      </c>
      <c r="I7" s="89" t="str">
        <f aca="false">IFERROR(__xludf.dummyfunction("REGEXEXTRACT(ADDRESS(ROW(), 19+$H7), ""[A-Z]+"")"),"S")</f>
        <v>S</v>
      </c>
      <c r="J7" s="89" t="str">
        <f aca="false">IFERROR(__xludf.dummyfunction("REGEXEXTRACT(ADDRESS(ROW(), 25+$H7), ""[A-Z]+"")"),"Y")</f>
        <v>Y</v>
      </c>
      <c r="K7" s="89" t="str">
        <f aca="false">IFERROR(__xludf.dummyfunction("REGEXEXTRACT(ADDRESS(ROW(), 27+$H7), ""[A-Z]+"")"),"AA")</f>
        <v>AA</v>
      </c>
      <c r="L7" s="89" t="str">
        <f aca="false">IFERROR(__xludf.dummyfunction("REGEXEXTRACT(ADDRESS(ROW(), 28+$H7), ""[A-Z]+"")"),"AB")</f>
        <v>AB</v>
      </c>
      <c r="M7" s="89" t="str">
        <f aca="false">IFERROR(__xludf.dummyfunction("REGEXEXTRACT(ADDRESS(ROW(), 34+$H7), ""[A-Z]+"")"),"AH")</f>
        <v>AH</v>
      </c>
      <c r="N7" s="89" t="str">
        <f aca="false">IFERROR(__xludf.dummyfunction("REGEXEXTRACT(ADDRESS(ROW(), 37+$H7), ""[A-Z]+"")"),"AK")</f>
        <v>AK</v>
      </c>
      <c r="O7" s="89" t="str">
        <f aca="false">IFERROR(__xludf.dummyfunction("REGEXEXTRACT(ADDRESS(ROW(), 38+$H7), ""[A-Z]+"")"),"AL")</f>
        <v>AL</v>
      </c>
      <c r="P7" s="89" t="str">
        <f aca="false">IFERROR(__xludf.dummyfunction("REGEXEXTRACT(ADDRESS(ROW(), 39+$H7), ""[A-Z]+"")"),"AM")</f>
        <v>AM</v>
      </c>
      <c r="Q7" s="89" t="str">
        <f aca="false">IFERROR(__xludf.dummyfunction("REGEXEXTRACT(ADDRESS(ROW(), 40+$H7), ""[A-Z]+"")"),"AN")</f>
        <v>AN</v>
      </c>
      <c r="R7" s="89" t="n">
        <f aca="false">IFERROR(__xludf.dummyfunction("IFERROR(QUERY(INDIRECT(""'""&amp;$F7&amp;""'!C3:""&amp;Q7&amp;""""), ""SELECT ""&amp;I7&amp;"", ""&amp;J7&amp;"", ""&amp;K7&amp;"", ""&amp;L7&amp;"", ""&amp;M7&amp;"", ""&amp;N7&amp;"", ""&amp;O7&amp;"", ""&amp;P7&amp;"" WHERE '""&amp;B7&amp;""' CONTAINS D"", 0), """")"),17)</f>
        <v>17</v>
      </c>
      <c r="S7" s="89" t="n">
        <f aca="false">IFERROR(__xludf.dummyfunction("""COMPUTED_VALUE"""),19)</f>
        <v>19</v>
      </c>
      <c r="T7" s="89"/>
      <c r="U7" s="89"/>
      <c r="V7" s="89" t="n">
        <f aca="false">IFERROR(__xludf.dummyfunction("""COMPUTED_VALUE"""),8.5)</f>
        <v>8.5</v>
      </c>
      <c r="W7" s="89"/>
      <c r="X7" s="89" t="n">
        <f aca="false">IFERROR(__xludf.dummyfunction("""COMPUTED_VALUE"""),40)</f>
        <v>40</v>
      </c>
      <c r="Y7" s="89" t="n">
        <f aca="false">IFERROR(__xludf.dummyfunction("""COMPUTED_VALUE"""),84.5)</f>
        <v>84.5</v>
      </c>
    </row>
    <row r="8" customFormat="false" ht="17.9" hidden="false" customHeight="false" outlineLevel="0" collapsed="false">
      <c r="A8" s="85" t="n">
        <v>7</v>
      </c>
      <c r="B8" s="85" t="n">
        <v>464917</v>
      </c>
      <c r="C8" s="86" t="s">
        <v>92</v>
      </c>
      <c r="D8" s="87" t="s">
        <v>93</v>
      </c>
      <c r="E8" s="88" t="str">
        <f aca="false">D8</f>
        <v>P3114</v>
      </c>
      <c r="F8" s="88" t="str">
        <f aca="false">REPLACE(E8, 1, 3, "")</f>
        <v>14</v>
      </c>
      <c r="G8" s="89" t="n">
        <f aca="true">IFERROR(VLOOKUP(B8,INDIRECT("'"&amp;$F8&amp;"'!D3:D"),1,FALSE()), "Not found")</f>
        <v>464917</v>
      </c>
      <c r="H8" s="89" t="n">
        <f aca="true">INDIRECT("'"&amp;$F8&amp;"'!D1")</f>
        <v>0</v>
      </c>
      <c r="I8" s="89" t="str">
        <f aca="false">IFERROR(__xludf.dummyfunction("REGEXEXTRACT(ADDRESS(ROW(), 19+$H8), ""[A-Z]+"")"),"S")</f>
        <v>S</v>
      </c>
      <c r="J8" s="89" t="str">
        <f aca="false">IFERROR(__xludf.dummyfunction("REGEXEXTRACT(ADDRESS(ROW(), 25+$H8), ""[A-Z]+"")"),"Y")</f>
        <v>Y</v>
      </c>
      <c r="K8" s="89" t="str">
        <f aca="false">IFERROR(__xludf.dummyfunction("REGEXEXTRACT(ADDRESS(ROW(), 27+$H8), ""[A-Z]+"")"),"AA")</f>
        <v>AA</v>
      </c>
      <c r="L8" s="89" t="str">
        <f aca="false">IFERROR(__xludf.dummyfunction("REGEXEXTRACT(ADDRESS(ROW(), 28+$H8), ""[A-Z]+"")"),"AB")</f>
        <v>AB</v>
      </c>
      <c r="M8" s="89" t="str">
        <f aca="false">IFERROR(__xludf.dummyfunction("REGEXEXTRACT(ADDRESS(ROW(), 34+$H8), ""[A-Z]+"")"),"AH")</f>
        <v>AH</v>
      </c>
      <c r="N8" s="89" t="str">
        <f aca="false">IFERROR(__xludf.dummyfunction("REGEXEXTRACT(ADDRESS(ROW(), 37+$H8), ""[A-Z]+"")"),"AK")</f>
        <v>AK</v>
      </c>
      <c r="O8" s="89" t="str">
        <f aca="false">IFERROR(__xludf.dummyfunction("REGEXEXTRACT(ADDRESS(ROW(), 38+$H8), ""[A-Z]+"")"),"AL")</f>
        <v>AL</v>
      </c>
      <c r="P8" s="89" t="str">
        <f aca="false">IFERROR(__xludf.dummyfunction("REGEXEXTRACT(ADDRESS(ROW(), 39+$H8), ""[A-Z]+"")"),"AM")</f>
        <v>AM</v>
      </c>
      <c r="Q8" s="89" t="str">
        <f aca="false">IFERROR(__xludf.dummyfunction("REGEXEXTRACT(ADDRESS(ROW(), 40+$H8), ""[A-Z]+"")"),"AN")</f>
        <v>AN</v>
      </c>
      <c r="R8" s="89" t="n">
        <f aca="false">IFERROR(__xludf.dummyfunction("IFERROR(QUERY(INDIRECT(""'""&amp;$F8&amp;""'!C3:""&amp;Q8&amp;""""), ""SELECT ""&amp;I8&amp;"", ""&amp;J8&amp;"", ""&amp;K8&amp;"", ""&amp;L8&amp;"", ""&amp;M8&amp;"", ""&amp;N8&amp;"", ""&amp;O8&amp;"", ""&amp;P8&amp;"" WHERE '""&amp;B8&amp;""' CONTAINS D"", 0), """")"),15)</f>
        <v>15</v>
      </c>
      <c r="S8" s="89" t="n">
        <f aca="false">IFERROR(__xludf.dummyfunction("""COMPUTED_VALUE"""),20)</f>
        <v>20</v>
      </c>
      <c r="T8" s="89"/>
      <c r="U8" s="89"/>
      <c r="V8" s="89" t="n">
        <f aca="false">IFERROR(__xludf.dummyfunction("""COMPUTED_VALUE"""),10)</f>
        <v>10</v>
      </c>
      <c r="W8" s="89"/>
      <c r="X8" s="89" t="n">
        <f aca="false">IFERROR(__xludf.dummyfunction("""COMPUTED_VALUE"""),40)</f>
        <v>40</v>
      </c>
      <c r="Y8" s="89" t="n">
        <f aca="false">IFERROR(__xludf.dummyfunction("""COMPUTED_VALUE"""),85)</f>
        <v>85</v>
      </c>
    </row>
    <row r="9" customFormat="false" ht="17.9" hidden="false" customHeight="false" outlineLevel="0" collapsed="false">
      <c r="A9" s="85" t="n">
        <v>8</v>
      </c>
      <c r="B9" s="85" t="n">
        <v>464921</v>
      </c>
      <c r="C9" s="86" t="s">
        <v>94</v>
      </c>
      <c r="D9" s="87" t="s">
        <v>95</v>
      </c>
      <c r="E9" s="88" t="str">
        <f aca="false">D9</f>
        <v>P3106</v>
      </c>
      <c r="F9" s="88" t="str">
        <f aca="false">REPLACE(E9, 1, 3, "")</f>
        <v>06</v>
      </c>
      <c r="G9" s="89" t="n">
        <f aca="true">IFERROR(VLOOKUP(B9,INDIRECT("'"&amp;$F9&amp;"'!D3:D"),1,FALSE()), "Not found")</f>
        <v>464921</v>
      </c>
      <c r="H9" s="89" t="n">
        <f aca="true">INDIRECT("'"&amp;$F9&amp;"'!D1")</f>
        <v>0</v>
      </c>
      <c r="I9" s="89" t="str">
        <f aca="false">IFERROR(__xludf.dummyfunction("REGEXEXTRACT(ADDRESS(ROW(), 19+$H9), ""[A-Z]+"")"),"S")</f>
        <v>S</v>
      </c>
      <c r="J9" s="89" t="str">
        <f aca="false">IFERROR(__xludf.dummyfunction("REGEXEXTRACT(ADDRESS(ROW(), 25+$H9), ""[A-Z]+"")"),"Y")</f>
        <v>Y</v>
      </c>
      <c r="K9" s="89" t="str">
        <f aca="false">IFERROR(__xludf.dummyfunction("REGEXEXTRACT(ADDRESS(ROW(), 27+$H9), ""[A-Z]+"")"),"AA")</f>
        <v>AA</v>
      </c>
      <c r="L9" s="89" t="str">
        <f aca="false">IFERROR(__xludf.dummyfunction("REGEXEXTRACT(ADDRESS(ROW(), 28+$H9), ""[A-Z]+"")"),"AB")</f>
        <v>AB</v>
      </c>
      <c r="M9" s="89" t="str">
        <f aca="false">IFERROR(__xludf.dummyfunction("REGEXEXTRACT(ADDRESS(ROW(), 34+$H9), ""[A-Z]+"")"),"AH")</f>
        <v>AH</v>
      </c>
      <c r="N9" s="89" t="str">
        <f aca="false">IFERROR(__xludf.dummyfunction("REGEXEXTRACT(ADDRESS(ROW(), 37+$H9), ""[A-Z]+"")"),"AK")</f>
        <v>AK</v>
      </c>
      <c r="O9" s="89" t="str">
        <f aca="false">IFERROR(__xludf.dummyfunction("REGEXEXTRACT(ADDRESS(ROW(), 38+$H9), ""[A-Z]+"")"),"AL")</f>
        <v>AL</v>
      </c>
      <c r="P9" s="89" t="str">
        <f aca="false">IFERROR(__xludf.dummyfunction("REGEXEXTRACT(ADDRESS(ROW(), 39+$H9), ""[A-Z]+"")"),"AM")</f>
        <v>AM</v>
      </c>
      <c r="Q9" s="89" t="str">
        <f aca="false">IFERROR(__xludf.dummyfunction("REGEXEXTRACT(ADDRESS(ROW(), 40+$H9), ""[A-Z]+"")"),"AN")</f>
        <v>AN</v>
      </c>
      <c r="R9" s="89" t="n">
        <f aca="false">IFERROR(__xludf.dummyfunction("IFERROR(QUERY(INDIRECT(""'""&amp;$F9&amp;""'!C3:""&amp;Q9&amp;""""), ""SELECT ""&amp;I9&amp;"", ""&amp;J9&amp;"", ""&amp;K9&amp;"", ""&amp;L9&amp;"", ""&amp;M9&amp;"", ""&amp;N9&amp;"", ""&amp;O9&amp;"", ""&amp;P9&amp;"" WHERE '""&amp;B9&amp;""' CONTAINS D"", 0), """")"),13)</f>
        <v>13</v>
      </c>
      <c r="S9" s="89" t="n">
        <f aca="false">IFERROR(__xludf.dummyfunction("""COMPUTED_VALUE"""),15)</f>
        <v>15</v>
      </c>
      <c r="T9" s="89"/>
      <c r="U9" s="89"/>
      <c r="V9" s="89" t="n">
        <f aca="false">IFERROR(__xludf.dummyfunction("""COMPUTED_VALUE"""),6)</f>
        <v>6</v>
      </c>
      <c r="W9" s="89"/>
      <c r="X9" s="89" t="n">
        <f aca="false">IFERROR(__xludf.dummyfunction("""COMPUTED_VALUE"""),30)</f>
        <v>30</v>
      </c>
      <c r="Y9" s="89" t="n">
        <f aca="false">IFERROR(__xludf.dummyfunction("""COMPUTED_VALUE"""),64)</f>
        <v>64</v>
      </c>
    </row>
    <row r="10" customFormat="false" ht="17.9" hidden="false" customHeight="false" outlineLevel="0" collapsed="false">
      <c r="A10" s="85" t="n">
        <v>9</v>
      </c>
      <c r="B10" s="85" t="n">
        <v>471658</v>
      </c>
      <c r="C10" s="86" t="s">
        <v>96</v>
      </c>
      <c r="D10" s="87" t="s">
        <v>87</v>
      </c>
      <c r="E10" s="88" t="str">
        <f aca="false">D10</f>
        <v>P3130</v>
      </c>
      <c r="F10" s="88" t="str">
        <f aca="false">REPLACE(E10, 1, 3, "")</f>
        <v>30</v>
      </c>
      <c r="G10" s="89" t="str">
        <f aca="true">IFERROR(VLOOKUP(B10,INDIRECT("'"&amp;$F10&amp;"'!D3:D"),1,FALSE()), "Not found")</f>
        <v>Not found</v>
      </c>
      <c r="H10" s="89" t="n">
        <f aca="true">INDIRECT("'"&amp;$F10&amp;"'!D1")</f>
        <v>0</v>
      </c>
      <c r="I10" s="89" t="str">
        <f aca="false">IFERROR(__xludf.dummyfunction("REGEXEXTRACT(ADDRESS(ROW(), 19+$H10), ""[A-Z]+"")"),"S")</f>
        <v>S</v>
      </c>
      <c r="J10" s="89" t="str">
        <f aca="false">IFERROR(__xludf.dummyfunction("REGEXEXTRACT(ADDRESS(ROW(), 25+$H10), ""[A-Z]+"")"),"Y")</f>
        <v>Y</v>
      </c>
      <c r="K10" s="89" t="str">
        <f aca="false">IFERROR(__xludf.dummyfunction("REGEXEXTRACT(ADDRESS(ROW(), 27+$H10), ""[A-Z]+"")"),"AA")</f>
        <v>AA</v>
      </c>
      <c r="L10" s="89" t="str">
        <f aca="false">IFERROR(__xludf.dummyfunction("REGEXEXTRACT(ADDRESS(ROW(), 28+$H10), ""[A-Z]+"")"),"AB")</f>
        <v>AB</v>
      </c>
      <c r="M10" s="89" t="str">
        <f aca="false">IFERROR(__xludf.dummyfunction("REGEXEXTRACT(ADDRESS(ROW(), 34+$H10), ""[A-Z]+"")"),"AH")</f>
        <v>AH</v>
      </c>
      <c r="N10" s="89" t="str">
        <f aca="false">IFERROR(__xludf.dummyfunction("REGEXEXTRACT(ADDRESS(ROW(), 37+$H10), ""[A-Z]+"")"),"AK")</f>
        <v>AK</v>
      </c>
      <c r="O10" s="89" t="str">
        <f aca="false">IFERROR(__xludf.dummyfunction("REGEXEXTRACT(ADDRESS(ROW(), 38+$H10), ""[A-Z]+"")"),"AL")</f>
        <v>AL</v>
      </c>
      <c r="P10" s="89" t="str">
        <f aca="false">IFERROR(__xludf.dummyfunction("REGEXEXTRACT(ADDRESS(ROW(), 39+$H10), ""[A-Z]+"")"),"AM")</f>
        <v>AM</v>
      </c>
      <c r="Q10" s="89" t="str">
        <f aca="false">IFERROR(__xludf.dummyfunction("REGEXEXTRACT(ADDRESS(ROW(), 40+$H10), ""[A-Z]+"")"),"AN")</f>
        <v>AN</v>
      </c>
      <c r="R10" s="89" t="n">
        <f aca="false">IFERROR(__xludf.dummyfunction("IFERROR(QUERY(INDIRECT(""'""&amp;$F10&amp;""'!C3:""&amp;Q10&amp;""""), ""SELECT ""&amp;I10&amp;"", ""&amp;J10&amp;"", ""&amp;K10&amp;"", ""&amp;L10&amp;"", ""&amp;M10&amp;"", ""&amp;N10&amp;"", ""&amp;O10&amp;"", ""&amp;P10&amp;"" WHERE '""&amp;B10&amp;""' CONTAINS D"", 0), """")"),14)</f>
        <v>14</v>
      </c>
      <c r="S10" s="89" t="n">
        <f aca="false">IFERROR(__xludf.dummyfunction("""COMPUTED_VALUE"""),19)</f>
        <v>19</v>
      </c>
      <c r="T10" s="89"/>
      <c r="U10" s="89"/>
      <c r="V10" s="89" t="n">
        <f aca="false">IFERROR(__xludf.dummyfunction("""COMPUTED_VALUE"""),6)</f>
        <v>6</v>
      </c>
      <c r="W10" s="89"/>
      <c r="X10" s="89" t="n">
        <f aca="false">IFERROR(__xludf.dummyfunction("""COMPUTED_VALUE"""),40)</f>
        <v>40</v>
      </c>
      <c r="Y10" s="89" t="n">
        <f aca="false">IFERROR(__xludf.dummyfunction("""COMPUTED_VALUE"""),79)</f>
        <v>79</v>
      </c>
    </row>
    <row r="11" customFormat="false" ht="17.9" hidden="false" customHeight="false" outlineLevel="0" collapsed="false">
      <c r="A11" s="85" t="n">
        <v>10</v>
      </c>
      <c r="B11" s="85" t="n">
        <v>374856</v>
      </c>
      <c r="C11" s="86" t="s">
        <v>97</v>
      </c>
      <c r="D11" s="87" t="s">
        <v>87</v>
      </c>
      <c r="E11" s="88" t="str">
        <f aca="false">D11</f>
        <v>P3130</v>
      </c>
      <c r="F11" s="88" t="str">
        <f aca="false">REPLACE(E11, 1, 3, "")</f>
        <v>30</v>
      </c>
      <c r="G11" s="89" t="str">
        <f aca="true">IFERROR(VLOOKUP(B11,INDIRECT("'"&amp;$F11&amp;"'!D3:D"),1,FALSE()), "Not found")</f>
        <v>Not found</v>
      </c>
      <c r="H11" s="89" t="n">
        <f aca="true">INDIRECT("'"&amp;$F11&amp;"'!D1")</f>
        <v>0</v>
      </c>
      <c r="I11" s="89" t="str">
        <f aca="false">IFERROR(__xludf.dummyfunction("REGEXEXTRACT(ADDRESS(ROW(), 19+$H11), ""[A-Z]+"")"),"S")</f>
        <v>S</v>
      </c>
      <c r="J11" s="89" t="str">
        <f aca="false">IFERROR(__xludf.dummyfunction("REGEXEXTRACT(ADDRESS(ROW(), 25+$H11), ""[A-Z]+"")"),"Y")</f>
        <v>Y</v>
      </c>
      <c r="K11" s="89" t="str">
        <f aca="false">IFERROR(__xludf.dummyfunction("REGEXEXTRACT(ADDRESS(ROW(), 27+$H11), ""[A-Z]+"")"),"AA")</f>
        <v>AA</v>
      </c>
      <c r="L11" s="89" t="str">
        <f aca="false">IFERROR(__xludf.dummyfunction("REGEXEXTRACT(ADDRESS(ROW(), 28+$H11), ""[A-Z]+"")"),"AB")</f>
        <v>AB</v>
      </c>
      <c r="M11" s="89" t="str">
        <f aca="false">IFERROR(__xludf.dummyfunction("REGEXEXTRACT(ADDRESS(ROW(), 34+$H11), ""[A-Z]+"")"),"AH")</f>
        <v>AH</v>
      </c>
      <c r="N11" s="89" t="str">
        <f aca="false">IFERROR(__xludf.dummyfunction("REGEXEXTRACT(ADDRESS(ROW(), 37+$H11), ""[A-Z]+"")"),"AK")</f>
        <v>AK</v>
      </c>
      <c r="O11" s="89" t="str">
        <f aca="false">IFERROR(__xludf.dummyfunction("REGEXEXTRACT(ADDRESS(ROW(), 38+$H11), ""[A-Z]+"")"),"AL")</f>
        <v>AL</v>
      </c>
      <c r="P11" s="89" t="str">
        <f aca="false">IFERROR(__xludf.dummyfunction("REGEXEXTRACT(ADDRESS(ROW(), 39+$H11), ""[A-Z]+"")"),"AM")</f>
        <v>AM</v>
      </c>
      <c r="Q11" s="89" t="str">
        <f aca="false">IFERROR(__xludf.dummyfunction("REGEXEXTRACT(ADDRESS(ROW(), 40+$H11), ""[A-Z]+"")"),"AN")</f>
        <v>AN</v>
      </c>
      <c r="R11" s="89" t="n">
        <f aca="false">IFERROR(__xludf.dummyfunction("IFERROR(QUERY(INDIRECT(""'""&amp;$F11&amp;""'!C3:""&amp;Q11&amp;""""), ""SELECT ""&amp;I11&amp;"", ""&amp;J11&amp;"", ""&amp;K11&amp;"", ""&amp;L11&amp;"", ""&amp;M11&amp;"", ""&amp;N11&amp;"", ""&amp;O11&amp;"", ""&amp;P11&amp;"" WHERE '""&amp;B11&amp;""' CONTAINS D"", 0), """")"),12)</f>
        <v>12</v>
      </c>
      <c r="S11" s="89"/>
      <c r="T11" s="89"/>
      <c r="U11" s="89"/>
      <c r="V11" s="89" t="n">
        <f aca="false">IFERROR(__xludf.dummyfunction("""COMPUTED_VALUE"""),0.02)</f>
        <v>0.02</v>
      </c>
      <c r="W11" s="89"/>
      <c r="X11" s="89" t="n">
        <f aca="false">IFERROR(__xludf.dummyfunction("""COMPUTED_VALUE"""),0)</f>
        <v>0</v>
      </c>
      <c r="Y11" s="89" t="n">
        <f aca="false">IFERROR(__xludf.dummyfunction("""COMPUTED_VALUE"""),12.02)</f>
        <v>12.02</v>
      </c>
    </row>
    <row r="12" customFormat="false" ht="17.9" hidden="false" customHeight="false" outlineLevel="0" collapsed="false">
      <c r="A12" s="85" t="n">
        <v>11</v>
      </c>
      <c r="B12" s="85" t="n">
        <v>399913</v>
      </c>
      <c r="C12" s="86" t="s">
        <v>98</v>
      </c>
      <c r="D12" s="87" t="s">
        <v>93</v>
      </c>
      <c r="E12" s="88" t="str">
        <f aca="false">D12</f>
        <v>P3114</v>
      </c>
      <c r="F12" s="88" t="str">
        <f aca="false">REPLACE(E12, 1, 3, "")</f>
        <v>14</v>
      </c>
      <c r="G12" s="89" t="str">
        <f aca="true">IFERROR(VLOOKUP(B12,INDIRECT("'"&amp;$F12&amp;"'!D3:D"),1,FALSE()), "Not found")</f>
        <v>Not found</v>
      </c>
      <c r="H12" s="89" t="n">
        <f aca="true">INDIRECT("'"&amp;$F12&amp;"'!D1")</f>
        <v>0</v>
      </c>
      <c r="I12" s="89" t="str">
        <f aca="false">IFERROR(__xludf.dummyfunction("REGEXEXTRACT(ADDRESS(ROW(), 19+$H12), ""[A-Z]+"")"),"S")</f>
        <v>S</v>
      </c>
      <c r="J12" s="89" t="str">
        <f aca="false">IFERROR(__xludf.dummyfunction("REGEXEXTRACT(ADDRESS(ROW(), 25+$H12), ""[A-Z]+"")"),"Y")</f>
        <v>Y</v>
      </c>
      <c r="K12" s="89" t="str">
        <f aca="false">IFERROR(__xludf.dummyfunction("REGEXEXTRACT(ADDRESS(ROW(), 27+$H12), ""[A-Z]+"")"),"AA")</f>
        <v>AA</v>
      </c>
      <c r="L12" s="89" t="str">
        <f aca="false">IFERROR(__xludf.dummyfunction("REGEXEXTRACT(ADDRESS(ROW(), 28+$H12), ""[A-Z]+"")"),"AB")</f>
        <v>AB</v>
      </c>
      <c r="M12" s="89" t="str">
        <f aca="false">IFERROR(__xludf.dummyfunction("REGEXEXTRACT(ADDRESS(ROW(), 34+$H12), ""[A-Z]+"")"),"AH")</f>
        <v>AH</v>
      </c>
      <c r="N12" s="89" t="str">
        <f aca="false">IFERROR(__xludf.dummyfunction("REGEXEXTRACT(ADDRESS(ROW(), 37+$H12), ""[A-Z]+"")"),"AK")</f>
        <v>AK</v>
      </c>
      <c r="O12" s="89" t="str">
        <f aca="false">IFERROR(__xludf.dummyfunction("REGEXEXTRACT(ADDRESS(ROW(), 38+$H12), ""[A-Z]+"")"),"AL")</f>
        <v>AL</v>
      </c>
      <c r="P12" s="89" t="str">
        <f aca="false">IFERROR(__xludf.dummyfunction("REGEXEXTRACT(ADDRESS(ROW(), 39+$H12), ""[A-Z]+"")"),"AM")</f>
        <v>AM</v>
      </c>
      <c r="Q12" s="89" t="str">
        <f aca="false">IFERROR(__xludf.dummyfunction("REGEXEXTRACT(ADDRESS(ROW(), 40+$H12), ""[A-Z]+"")"),"AN")</f>
        <v>AN</v>
      </c>
      <c r="R12" s="89" t="n">
        <f aca="false">IFERROR(__xludf.dummyfunction("IFERROR(QUERY(INDIRECT(""'""&amp;$F12&amp;""'!C3:""&amp;Q12&amp;""""), ""SELECT ""&amp;I12&amp;"", ""&amp;J12&amp;"", ""&amp;K12&amp;"", ""&amp;L12&amp;"", ""&amp;M12&amp;"", ""&amp;N12&amp;"", ""&amp;O12&amp;"", ""&amp;P12&amp;"" WHERE '""&amp;B12&amp;""' CONTAINS D"", 0), """")"),17)</f>
        <v>17</v>
      </c>
      <c r="S12" s="89" t="n">
        <f aca="false">IFERROR(__xludf.dummyfunction("""COMPUTED_VALUE"""),20)</f>
        <v>20</v>
      </c>
      <c r="T12" s="89"/>
      <c r="U12" s="89"/>
      <c r="V12" s="89" t="n">
        <f aca="false">IFERROR(__xludf.dummyfunction("""COMPUTED_VALUE"""),10)</f>
        <v>10</v>
      </c>
      <c r="W12" s="89"/>
      <c r="X12" s="89" t="n">
        <f aca="false">IFERROR(__xludf.dummyfunction("""COMPUTED_VALUE"""),40)</f>
        <v>40</v>
      </c>
      <c r="Y12" s="89" t="n">
        <f aca="false">IFERROR(__xludf.dummyfunction("""COMPUTED_VALUE"""),87)</f>
        <v>87</v>
      </c>
    </row>
    <row r="13" customFormat="false" ht="17.9" hidden="false" customHeight="false" outlineLevel="0" collapsed="false">
      <c r="A13" s="85" t="n">
        <v>12</v>
      </c>
      <c r="B13" s="85" t="n">
        <v>471668</v>
      </c>
      <c r="C13" s="86" t="s">
        <v>99</v>
      </c>
      <c r="D13" s="87" t="s">
        <v>100</v>
      </c>
      <c r="E13" s="88" t="str">
        <f aca="false">D13</f>
        <v>P3112</v>
      </c>
      <c r="F13" s="88" t="str">
        <f aca="false">REPLACE(E13, 1, 3, "")</f>
        <v>12</v>
      </c>
      <c r="G13" s="89" t="n">
        <f aca="true">IFERROR(VLOOKUP(B13,INDIRECT("'"&amp;$F13&amp;"'!D3:D"),1,FALSE()), "Not found")</f>
        <v>471668</v>
      </c>
      <c r="H13" s="89" t="n">
        <f aca="true">INDIRECT("'"&amp;$F13&amp;"'!D1")</f>
        <v>0</v>
      </c>
      <c r="I13" s="89" t="str">
        <f aca="false">IFERROR(__xludf.dummyfunction("REGEXEXTRACT(ADDRESS(ROW(), 19+$H13), ""[A-Z]+"")"),"S")</f>
        <v>S</v>
      </c>
      <c r="J13" s="89" t="str">
        <f aca="false">IFERROR(__xludf.dummyfunction("REGEXEXTRACT(ADDRESS(ROW(), 25+$H13), ""[A-Z]+"")"),"Y")</f>
        <v>Y</v>
      </c>
      <c r="K13" s="89" t="str">
        <f aca="false">IFERROR(__xludf.dummyfunction("REGEXEXTRACT(ADDRESS(ROW(), 27+$H13), ""[A-Z]+"")"),"AA")</f>
        <v>AA</v>
      </c>
      <c r="L13" s="89" t="str">
        <f aca="false">IFERROR(__xludf.dummyfunction("REGEXEXTRACT(ADDRESS(ROW(), 28+$H13), ""[A-Z]+"")"),"AB")</f>
        <v>AB</v>
      </c>
      <c r="M13" s="89" t="str">
        <f aca="false">IFERROR(__xludf.dummyfunction("REGEXEXTRACT(ADDRESS(ROW(), 34+$H13), ""[A-Z]+"")"),"AH")</f>
        <v>AH</v>
      </c>
      <c r="N13" s="89" t="str">
        <f aca="false">IFERROR(__xludf.dummyfunction("REGEXEXTRACT(ADDRESS(ROW(), 37+$H13), ""[A-Z]+"")"),"AK")</f>
        <v>AK</v>
      </c>
      <c r="O13" s="89" t="str">
        <f aca="false">IFERROR(__xludf.dummyfunction("REGEXEXTRACT(ADDRESS(ROW(), 38+$H13), ""[A-Z]+"")"),"AL")</f>
        <v>AL</v>
      </c>
      <c r="P13" s="89" t="str">
        <f aca="false">IFERROR(__xludf.dummyfunction("REGEXEXTRACT(ADDRESS(ROW(), 39+$H13), ""[A-Z]+"")"),"AM")</f>
        <v>AM</v>
      </c>
      <c r="Q13" s="89" t="str">
        <f aca="false">IFERROR(__xludf.dummyfunction("REGEXEXTRACT(ADDRESS(ROW(), 40+$H13), ""[A-Z]+"")"),"AN")</f>
        <v>AN</v>
      </c>
      <c r="R13" s="89" t="str">
        <f aca="false">IFERROR(__xludf.dummyfunction("IFERROR(QUERY(INDIRECT(""'""&amp;$F13&amp;""'!C3:""&amp;Q13&amp;""""), ""SELECT ""&amp;I13&amp;"", ""&amp;J13&amp;"", ""&amp;K13&amp;"", ""&amp;L13&amp;"", ""&amp;M13&amp;"", ""&amp;N13&amp;"", ""&amp;O13&amp;"", ""&amp;P13&amp;"" WHERE '""&amp;B13&amp;""' CONTAINS D"", 0), """")"),"")</f>
        <v/>
      </c>
      <c r="S13" s="89"/>
      <c r="T13" s="89"/>
      <c r="U13" s="89"/>
      <c r="V13" s="89" t="n">
        <f aca="false">IFERROR(__xludf.dummyfunction("""COMPUTED_VALUE"""),6)</f>
        <v>6</v>
      </c>
      <c r="W13" s="89"/>
      <c r="X13" s="89" t="n">
        <f aca="false">IFERROR(__xludf.dummyfunction("""COMPUTED_VALUE"""),0)</f>
        <v>0</v>
      </c>
      <c r="Y13" s="89" t="n">
        <f aca="false">IFERROR(__xludf.dummyfunction("""COMPUTED_VALUE"""),6)</f>
        <v>6</v>
      </c>
    </row>
    <row r="14" customFormat="false" ht="17.9" hidden="false" customHeight="false" outlineLevel="0" collapsed="false">
      <c r="A14" s="85" t="n">
        <v>13</v>
      </c>
      <c r="B14" s="85" t="n">
        <v>464985</v>
      </c>
      <c r="C14" s="86" t="s">
        <v>101</v>
      </c>
      <c r="D14" s="87" t="s">
        <v>102</v>
      </c>
      <c r="E14" s="88" t="str">
        <f aca="false">D14</f>
        <v>P3110</v>
      </c>
      <c r="F14" s="88" t="str">
        <f aca="false">REPLACE(E14, 1, 3, "")</f>
        <v>10</v>
      </c>
      <c r="G14" s="89" t="n">
        <f aca="true">IFERROR(VLOOKUP(B14,INDIRECT("'"&amp;$F14&amp;"'!D3:D"),1,FALSE()), "Not found")</f>
        <v>464985</v>
      </c>
      <c r="H14" s="89" t="n">
        <f aca="true">INDIRECT("'"&amp;$F14&amp;"'!D1")</f>
        <v>0</v>
      </c>
      <c r="I14" s="89" t="str">
        <f aca="false">IFERROR(__xludf.dummyfunction("REGEXEXTRACT(ADDRESS(ROW(), 19+$H14), ""[A-Z]+"")"),"S")</f>
        <v>S</v>
      </c>
      <c r="J14" s="89" t="str">
        <f aca="false">IFERROR(__xludf.dummyfunction("REGEXEXTRACT(ADDRESS(ROW(), 25+$H14), ""[A-Z]+"")"),"Y")</f>
        <v>Y</v>
      </c>
      <c r="K14" s="89" t="str">
        <f aca="false">IFERROR(__xludf.dummyfunction("REGEXEXTRACT(ADDRESS(ROW(), 27+$H14), ""[A-Z]+"")"),"AA")</f>
        <v>AA</v>
      </c>
      <c r="L14" s="89" t="str">
        <f aca="false">IFERROR(__xludf.dummyfunction("REGEXEXTRACT(ADDRESS(ROW(), 28+$H14), ""[A-Z]+"")"),"AB")</f>
        <v>AB</v>
      </c>
      <c r="M14" s="89" t="str">
        <f aca="false">IFERROR(__xludf.dummyfunction("REGEXEXTRACT(ADDRESS(ROW(), 34+$H14), ""[A-Z]+"")"),"AH")</f>
        <v>AH</v>
      </c>
      <c r="N14" s="89" t="str">
        <f aca="false">IFERROR(__xludf.dummyfunction("REGEXEXTRACT(ADDRESS(ROW(), 37+$H14), ""[A-Z]+"")"),"AK")</f>
        <v>AK</v>
      </c>
      <c r="O14" s="89" t="str">
        <f aca="false">IFERROR(__xludf.dummyfunction("REGEXEXTRACT(ADDRESS(ROW(), 38+$H14), ""[A-Z]+"")"),"AL")</f>
        <v>AL</v>
      </c>
      <c r="P14" s="89" t="str">
        <f aca="false">IFERROR(__xludf.dummyfunction("REGEXEXTRACT(ADDRESS(ROW(), 39+$H14), ""[A-Z]+"")"),"AM")</f>
        <v>AM</v>
      </c>
      <c r="Q14" s="89" t="str">
        <f aca="false">IFERROR(__xludf.dummyfunction("REGEXEXTRACT(ADDRESS(ROW(), 40+$H14), ""[A-Z]+"")"),"AN")</f>
        <v>AN</v>
      </c>
      <c r="R14" s="89" t="n">
        <f aca="false">IFERROR(__xludf.dummyfunction("IFERROR(QUERY(INDIRECT(""'""&amp;$F14&amp;""'!C3:""&amp;Q14&amp;""""), ""SELECT ""&amp;I14&amp;"", ""&amp;J14&amp;"", ""&amp;K14&amp;"", ""&amp;L14&amp;"", ""&amp;M14&amp;"", ""&amp;N14&amp;"", ""&amp;O14&amp;"", ""&amp;P14&amp;"" WHERE '""&amp;B14&amp;""' CONTAINS D"", 0), """")"),14)</f>
        <v>14</v>
      </c>
      <c r="S14" s="89" t="n">
        <f aca="false">IFERROR(__xludf.dummyfunction("""COMPUTED_VALUE"""),16)</f>
        <v>16</v>
      </c>
      <c r="T14" s="89"/>
      <c r="U14" s="89"/>
      <c r="V14" s="89" t="n">
        <f aca="false">IFERROR(__xludf.dummyfunction("""COMPUTED_VALUE"""),6)</f>
        <v>6</v>
      </c>
      <c r="W14" s="89"/>
      <c r="X14" s="89" t="n">
        <f aca="false">IFERROR(__xludf.dummyfunction("""COMPUTED_VALUE"""),28)</f>
        <v>28</v>
      </c>
      <c r="Y14" s="89" t="n">
        <f aca="false">IFERROR(__xludf.dummyfunction("""COMPUTED_VALUE"""),64)</f>
        <v>64</v>
      </c>
    </row>
    <row r="15" customFormat="false" ht="17.9" hidden="false" customHeight="false" outlineLevel="0" collapsed="false">
      <c r="A15" s="85" t="n">
        <v>14</v>
      </c>
      <c r="B15" s="85" t="n">
        <v>408027</v>
      </c>
      <c r="C15" s="86" t="s">
        <v>103</v>
      </c>
      <c r="D15" s="87" t="s">
        <v>81</v>
      </c>
      <c r="E15" s="88" t="str">
        <f aca="false">D15</f>
        <v>P3108</v>
      </c>
      <c r="F15" s="88" t="str">
        <f aca="false">REPLACE(E15, 1, 3, "")</f>
        <v>08</v>
      </c>
      <c r="G15" s="89" t="str">
        <f aca="true">IFERROR(VLOOKUP(B15,INDIRECT("'"&amp;$F15&amp;"'!D3:D"),1,FALSE()), "Not found")</f>
        <v>Not found</v>
      </c>
      <c r="H15" s="89" t="n">
        <f aca="true">INDIRECT("'"&amp;$F15&amp;"'!D1")</f>
        <v>0</v>
      </c>
      <c r="I15" s="89" t="str">
        <f aca="false">IFERROR(__xludf.dummyfunction("REGEXEXTRACT(ADDRESS(ROW(), 19+$H15), ""[A-Z]+"")"),"S")</f>
        <v>S</v>
      </c>
      <c r="J15" s="89" t="str">
        <f aca="false">IFERROR(__xludf.dummyfunction("REGEXEXTRACT(ADDRESS(ROW(), 25+$H15), ""[A-Z]+"")"),"Y")</f>
        <v>Y</v>
      </c>
      <c r="K15" s="89" t="str">
        <f aca="false">IFERROR(__xludf.dummyfunction("REGEXEXTRACT(ADDRESS(ROW(), 27+$H15), ""[A-Z]+"")"),"AA")</f>
        <v>AA</v>
      </c>
      <c r="L15" s="89" t="str">
        <f aca="false">IFERROR(__xludf.dummyfunction("REGEXEXTRACT(ADDRESS(ROW(), 28+$H15), ""[A-Z]+"")"),"AB")</f>
        <v>AB</v>
      </c>
      <c r="M15" s="89" t="str">
        <f aca="false">IFERROR(__xludf.dummyfunction("REGEXEXTRACT(ADDRESS(ROW(), 34+$H15), ""[A-Z]+"")"),"AH")</f>
        <v>AH</v>
      </c>
      <c r="N15" s="89" t="str">
        <f aca="false">IFERROR(__xludf.dummyfunction("REGEXEXTRACT(ADDRESS(ROW(), 37+$H15), ""[A-Z]+"")"),"AK")</f>
        <v>AK</v>
      </c>
      <c r="O15" s="89" t="str">
        <f aca="false">IFERROR(__xludf.dummyfunction("REGEXEXTRACT(ADDRESS(ROW(), 38+$H15), ""[A-Z]+"")"),"AL")</f>
        <v>AL</v>
      </c>
      <c r="P15" s="89" t="str">
        <f aca="false">IFERROR(__xludf.dummyfunction("REGEXEXTRACT(ADDRESS(ROW(), 39+$H15), ""[A-Z]+"")"),"AM")</f>
        <v>AM</v>
      </c>
      <c r="Q15" s="89" t="str">
        <f aca="false">IFERROR(__xludf.dummyfunction("REGEXEXTRACT(ADDRESS(ROW(), 40+$H15), ""[A-Z]+"")"),"AN")</f>
        <v>AN</v>
      </c>
      <c r="R15" s="89" t="str">
        <f aca="false">IFERROR(__xludf.dummyfunction("IFERROR(QUERY(INDIRECT(""'""&amp;$F15&amp;""'!C3:""&amp;Q15&amp;""""), ""SELECT ""&amp;I15&amp;"", ""&amp;J15&amp;"", ""&amp;K15&amp;"", ""&amp;L15&amp;"", ""&amp;M15&amp;"", ""&amp;N15&amp;"", ""&amp;O15&amp;"", ""&amp;P15&amp;"" WHERE '""&amp;B15&amp;""' CONTAINS D"", 0), """")"),"")</f>
        <v/>
      </c>
      <c r="S15" s="89"/>
      <c r="T15" s="89"/>
      <c r="U15" s="89"/>
      <c r="V15" s="89" t="n">
        <f aca="false">IFERROR(__xludf.dummyfunction("""COMPUTED_VALUE"""),0.02)</f>
        <v>0.02</v>
      </c>
      <c r="W15" s="89"/>
      <c r="X15" s="89"/>
      <c r="Y15" s="89" t="n">
        <f aca="false">IFERROR(__xludf.dummyfunction("""COMPUTED_VALUE"""),0.02)</f>
        <v>0.02</v>
      </c>
    </row>
    <row r="16" customFormat="false" ht="17.9" hidden="false" customHeight="false" outlineLevel="0" collapsed="false">
      <c r="A16" s="85" t="n">
        <v>15</v>
      </c>
      <c r="B16" s="85" t="n">
        <v>465026</v>
      </c>
      <c r="C16" s="86" t="s">
        <v>104</v>
      </c>
      <c r="D16" s="87" t="s">
        <v>85</v>
      </c>
      <c r="E16" s="88" t="str">
        <f aca="false">D16</f>
        <v>P3132</v>
      </c>
      <c r="F16" s="88" t="str">
        <f aca="false">REPLACE(E16, 1, 3, "")</f>
        <v>32</v>
      </c>
      <c r="G16" s="89" t="str">
        <f aca="true">IFERROR(VLOOKUP(B16,INDIRECT("'"&amp;$F16&amp;"'!D3:D"),1,FALSE()), "Not found")</f>
        <v>Not found</v>
      </c>
      <c r="H16" s="89" t="n">
        <f aca="true">INDIRECT("'"&amp;$F16&amp;"'!D1")</f>
        <v>0</v>
      </c>
      <c r="I16" s="89" t="str">
        <f aca="false">IFERROR(__xludf.dummyfunction("REGEXEXTRACT(ADDRESS(ROW(), 19+$H16), ""[A-Z]+"")"),"S")</f>
        <v>S</v>
      </c>
      <c r="J16" s="89" t="str">
        <f aca="false">IFERROR(__xludf.dummyfunction("REGEXEXTRACT(ADDRESS(ROW(), 25+$H16), ""[A-Z]+"")"),"Y")</f>
        <v>Y</v>
      </c>
      <c r="K16" s="89" t="str">
        <f aca="false">IFERROR(__xludf.dummyfunction("REGEXEXTRACT(ADDRESS(ROW(), 27+$H16), ""[A-Z]+"")"),"AA")</f>
        <v>AA</v>
      </c>
      <c r="L16" s="89" t="str">
        <f aca="false">IFERROR(__xludf.dummyfunction("REGEXEXTRACT(ADDRESS(ROW(), 28+$H16), ""[A-Z]+"")"),"AB")</f>
        <v>AB</v>
      </c>
      <c r="M16" s="89" t="str">
        <f aca="false">IFERROR(__xludf.dummyfunction("REGEXEXTRACT(ADDRESS(ROW(), 34+$H16), ""[A-Z]+"")"),"AH")</f>
        <v>AH</v>
      </c>
      <c r="N16" s="89" t="str">
        <f aca="false">IFERROR(__xludf.dummyfunction("REGEXEXTRACT(ADDRESS(ROW(), 37+$H16), ""[A-Z]+"")"),"AK")</f>
        <v>AK</v>
      </c>
      <c r="O16" s="89" t="str">
        <f aca="false">IFERROR(__xludf.dummyfunction("REGEXEXTRACT(ADDRESS(ROW(), 38+$H16), ""[A-Z]+"")"),"AL")</f>
        <v>AL</v>
      </c>
      <c r="P16" s="89" t="str">
        <f aca="false">IFERROR(__xludf.dummyfunction("REGEXEXTRACT(ADDRESS(ROW(), 39+$H16), ""[A-Z]+"")"),"AM")</f>
        <v>AM</v>
      </c>
      <c r="Q16" s="89" t="str">
        <f aca="false">IFERROR(__xludf.dummyfunction("REGEXEXTRACT(ADDRESS(ROW(), 40+$H16), ""[A-Z]+"")"),"AN")</f>
        <v>AN</v>
      </c>
      <c r="R16" s="89" t="n">
        <f aca="false">IFERROR(__xludf.dummyfunction("IFERROR(QUERY(INDIRECT(""'""&amp;$F16&amp;""'!C3:""&amp;Q16&amp;""""), ""SELECT ""&amp;I16&amp;"", ""&amp;J16&amp;"", ""&amp;K16&amp;"", ""&amp;L16&amp;"", ""&amp;M16&amp;"", ""&amp;N16&amp;"", ""&amp;O16&amp;"", ""&amp;P16&amp;"" WHERE '""&amp;B16&amp;""' CONTAINS D"", 0), """")"),18)</f>
        <v>18</v>
      </c>
      <c r="S16" s="89" t="n">
        <f aca="false">IFERROR(__xludf.dummyfunction("""COMPUTED_VALUE"""),17)</f>
        <v>17</v>
      </c>
      <c r="T16" s="89"/>
      <c r="U16" s="89"/>
      <c r="V16" s="89" t="n">
        <f aca="false">IFERROR(__xludf.dummyfunction("""COMPUTED_VALUE"""),6)</f>
        <v>6</v>
      </c>
      <c r="W16" s="89"/>
      <c r="X16" s="89" t="n">
        <f aca="false">IFERROR(__xludf.dummyfunction("""COMPUTED_VALUE"""),24)</f>
        <v>24</v>
      </c>
      <c r="Y16" s="89" t="n">
        <f aca="false">IFERROR(__xludf.dummyfunction("""COMPUTED_VALUE"""),65)</f>
        <v>65</v>
      </c>
    </row>
    <row r="17" customFormat="false" ht="17.9" hidden="false" customHeight="false" outlineLevel="0" collapsed="false">
      <c r="A17" s="85" t="n">
        <v>16</v>
      </c>
      <c r="B17" s="85" t="n">
        <v>465029</v>
      </c>
      <c r="C17" s="86" t="s">
        <v>105</v>
      </c>
      <c r="D17" s="87" t="s">
        <v>89</v>
      </c>
      <c r="E17" s="88" t="str">
        <f aca="false">D17</f>
        <v>P3119</v>
      </c>
      <c r="F17" s="88" t="str">
        <f aca="false">REPLACE(E17, 1, 3, "")</f>
        <v>19</v>
      </c>
      <c r="G17" s="89" t="str">
        <f aca="true">IFERROR(VLOOKUP(B17,INDIRECT("'"&amp;$F17&amp;"'!D3:D"),1,FALSE()), "Not found")</f>
        <v>Not found</v>
      </c>
      <c r="H17" s="89" t="n">
        <f aca="true">INDIRECT("'"&amp;$F17&amp;"'!D1")</f>
        <v>0</v>
      </c>
      <c r="I17" s="89" t="str">
        <f aca="false">IFERROR(__xludf.dummyfunction("REGEXEXTRACT(ADDRESS(ROW(), 19+$H17), ""[A-Z]+"")"),"S")</f>
        <v>S</v>
      </c>
      <c r="J17" s="89" t="str">
        <f aca="false">IFERROR(__xludf.dummyfunction("REGEXEXTRACT(ADDRESS(ROW(), 25+$H17), ""[A-Z]+"")"),"Y")</f>
        <v>Y</v>
      </c>
      <c r="K17" s="89" t="str">
        <f aca="false">IFERROR(__xludf.dummyfunction("REGEXEXTRACT(ADDRESS(ROW(), 27+$H17), ""[A-Z]+"")"),"AA")</f>
        <v>AA</v>
      </c>
      <c r="L17" s="89" t="str">
        <f aca="false">IFERROR(__xludf.dummyfunction("REGEXEXTRACT(ADDRESS(ROW(), 28+$H17), ""[A-Z]+"")"),"AB")</f>
        <v>AB</v>
      </c>
      <c r="M17" s="89" t="str">
        <f aca="false">IFERROR(__xludf.dummyfunction("REGEXEXTRACT(ADDRESS(ROW(), 34+$H17), ""[A-Z]+"")"),"AH")</f>
        <v>AH</v>
      </c>
      <c r="N17" s="89" t="str">
        <f aca="false">IFERROR(__xludf.dummyfunction("REGEXEXTRACT(ADDRESS(ROW(), 37+$H17), ""[A-Z]+"")"),"AK")</f>
        <v>AK</v>
      </c>
      <c r="O17" s="89" t="str">
        <f aca="false">IFERROR(__xludf.dummyfunction("REGEXEXTRACT(ADDRESS(ROW(), 38+$H17), ""[A-Z]+"")"),"AL")</f>
        <v>AL</v>
      </c>
      <c r="P17" s="89" t="str">
        <f aca="false">IFERROR(__xludf.dummyfunction("REGEXEXTRACT(ADDRESS(ROW(), 39+$H17), ""[A-Z]+"")"),"AM")</f>
        <v>AM</v>
      </c>
      <c r="Q17" s="89" t="str">
        <f aca="false">IFERROR(__xludf.dummyfunction("REGEXEXTRACT(ADDRESS(ROW(), 40+$H17), ""[A-Z]+"")"),"AN")</f>
        <v>AN</v>
      </c>
      <c r="R17" s="89" t="n">
        <f aca="false">IFERROR(__xludf.dummyfunction("IFERROR(QUERY(INDIRECT(""'""&amp;$F17&amp;""'!C3:""&amp;Q17&amp;""""), ""SELECT ""&amp;I17&amp;"", ""&amp;J17&amp;"", ""&amp;K17&amp;"", ""&amp;L17&amp;"", ""&amp;M17&amp;"", ""&amp;N17&amp;"", ""&amp;O17&amp;"", ""&amp;P17&amp;"" WHERE '""&amp;B17&amp;""' CONTAINS D"", 0), """")"),17)</f>
        <v>17</v>
      </c>
      <c r="S17" s="89" t="n">
        <f aca="false">IFERROR(__xludf.dummyfunction("""COMPUTED_VALUE"""),19)</f>
        <v>19</v>
      </c>
      <c r="T17" s="89"/>
      <c r="U17" s="89"/>
      <c r="V17" s="89" t="n">
        <f aca="false">IFERROR(__xludf.dummyfunction("""COMPUTED_VALUE"""),6)</f>
        <v>6</v>
      </c>
      <c r="W17" s="89"/>
      <c r="X17" s="89" t="n">
        <f aca="false">IFERROR(__xludf.dummyfunction("""COMPUTED_VALUE"""),40)</f>
        <v>40</v>
      </c>
      <c r="Y17" s="89" t="n">
        <f aca="false">IFERROR(__xludf.dummyfunction("""COMPUTED_VALUE"""),82)</f>
        <v>82</v>
      </c>
    </row>
    <row r="18" customFormat="false" ht="17.9" hidden="false" customHeight="false" outlineLevel="0" collapsed="false">
      <c r="A18" s="85" t="n">
        <v>17</v>
      </c>
      <c r="B18" s="85" t="n">
        <v>465058</v>
      </c>
      <c r="C18" s="86" t="s">
        <v>106</v>
      </c>
      <c r="D18" s="87" t="s">
        <v>87</v>
      </c>
      <c r="E18" s="88" t="str">
        <f aca="false">D18</f>
        <v>P3130</v>
      </c>
      <c r="F18" s="88" t="str">
        <f aca="false">REPLACE(E18, 1, 3, "")</f>
        <v>30</v>
      </c>
      <c r="G18" s="89" t="str">
        <f aca="true">IFERROR(VLOOKUP(B18,INDIRECT("'"&amp;$F18&amp;"'!D3:D"),1,FALSE()), "Not found")</f>
        <v>Not found</v>
      </c>
      <c r="H18" s="89" t="n">
        <f aca="true">INDIRECT("'"&amp;$F18&amp;"'!D1")</f>
        <v>0</v>
      </c>
      <c r="I18" s="89" t="str">
        <f aca="false">IFERROR(__xludf.dummyfunction("REGEXEXTRACT(ADDRESS(ROW(), 19+$H18), ""[A-Z]+"")"),"S")</f>
        <v>S</v>
      </c>
      <c r="J18" s="89" t="str">
        <f aca="false">IFERROR(__xludf.dummyfunction("REGEXEXTRACT(ADDRESS(ROW(), 25+$H18), ""[A-Z]+"")"),"Y")</f>
        <v>Y</v>
      </c>
      <c r="K18" s="89" t="str">
        <f aca="false">IFERROR(__xludf.dummyfunction("REGEXEXTRACT(ADDRESS(ROW(), 27+$H18), ""[A-Z]+"")"),"AA")</f>
        <v>AA</v>
      </c>
      <c r="L18" s="89" t="str">
        <f aca="false">IFERROR(__xludf.dummyfunction("REGEXEXTRACT(ADDRESS(ROW(), 28+$H18), ""[A-Z]+"")"),"AB")</f>
        <v>AB</v>
      </c>
      <c r="M18" s="89" t="str">
        <f aca="false">IFERROR(__xludf.dummyfunction("REGEXEXTRACT(ADDRESS(ROW(), 34+$H18), ""[A-Z]+"")"),"AH")</f>
        <v>AH</v>
      </c>
      <c r="N18" s="89" t="str">
        <f aca="false">IFERROR(__xludf.dummyfunction("REGEXEXTRACT(ADDRESS(ROW(), 37+$H18), ""[A-Z]+"")"),"AK")</f>
        <v>AK</v>
      </c>
      <c r="O18" s="89" t="str">
        <f aca="false">IFERROR(__xludf.dummyfunction("REGEXEXTRACT(ADDRESS(ROW(), 38+$H18), ""[A-Z]+"")"),"AL")</f>
        <v>AL</v>
      </c>
      <c r="P18" s="89" t="str">
        <f aca="false">IFERROR(__xludf.dummyfunction("REGEXEXTRACT(ADDRESS(ROW(), 39+$H18), ""[A-Z]+"")"),"AM")</f>
        <v>AM</v>
      </c>
      <c r="Q18" s="89" t="str">
        <f aca="false">IFERROR(__xludf.dummyfunction("REGEXEXTRACT(ADDRESS(ROW(), 40+$H18), ""[A-Z]+"")"),"AN")</f>
        <v>AN</v>
      </c>
      <c r="R18" s="89" t="n">
        <f aca="false">IFERROR(__xludf.dummyfunction("IFERROR(QUERY(INDIRECT(""'""&amp;$F18&amp;""'!C3:""&amp;Q18&amp;""""), ""SELECT ""&amp;I18&amp;"", ""&amp;J18&amp;"", ""&amp;K18&amp;"", ""&amp;L18&amp;"", ""&amp;M18&amp;"", ""&amp;N18&amp;"", ""&amp;O18&amp;"", ""&amp;P18&amp;"" WHERE '""&amp;B18&amp;""' CONTAINS D"", 0), """")"),13)</f>
        <v>13</v>
      </c>
      <c r="S18" s="89" t="n">
        <f aca="false">IFERROR(__xludf.dummyfunction("""COMPUTED_VALUE"""),15)</f>
        <v>15</v>
      </c>
      <c r="T18" s="89"/>
      <c r="U18" s="89"/>
      <c r="V18" s="89" t="n">
        <f aca="false">IFERROR(__xludf.dummyfunction("""COMPUTED_VALUE"""),7.5)</f>
        <v>7.5</v>
      </c>
      <c r="W18" s="89"/>
      <c r="X18" s="89" t="n">
        <f aca="false">IFERROR(__xludf.dummyfunction("""COMPUTED_VALUE"""),25)</f>
        <v>25</v>
      </c>
      <c r="Y18" s="89" t="n">
        <f aca="false">IFERROR(__xludf.dummyfunction("""COMPUTED_VALUE"""),60.5)</f>
        <v>60.5</v>
      </c>
    </row>
    <row r="19" customFormat="false" ht="17.9" hidden="false" customHeight="false" outlineLevel="0" collapsed="false">
      <c r="A19" s="85" t="n">
        <v>18</v>
      </c>
      <c r="B19" s="85" t="n">
        <v>476150</v>
      </c>
      <c r="C19" s="86" t="s">
        <v>107</v>
      </c>
      <c r="D19" s="87" t="s">
        <v>102</v>
      </c>
      <c r="E19" s="88" t="str">
        <f aca="false">D19</f>
        <v>P3110</v>
      </c>
      <c r="F19" s="88" t="str">
        <f aca="false">REPLACE(E19, 1, 3, "")</f>
        <v>10</v>
      </c>
      <c r="G19" s="89" t="str">
        <f aca="true">IFERROR(VLOOKUP(B19,INDIRECT("'"&amp;$F19&amp;"'!D3:D"),1,FALSE()), "Not found")</f>
        <v>Not found</v>
      </c>
      <c r="H19" s="89" t="n">
        <f aca="true">INDIRECT("'"&amp;$F19&amp;"'!D1")</f>
        <v>0</v>
      </c>
      <c r="I19" s="89" t="str">
        <f aca="false">IFERROR(__xludf.dummyfunction("REGEXEXTRACT(ADDRESS(ROW(), 19+$H19), ""[A-Z]+"")"),"S")</f>
        <v>S</v>
      </c>
      <c r="J19" s="89" t="str">
        <f aca="false">IFERROR(__xludf.dummyfunction("REGEXEXTRACT(ADDRESS(ROW(), 25+$H19), ""[A-Z]+"")"),"Y")</f>
        <v>Y</v>
      </c>
      <c r="K19" s="89" t="str">
        <f aca="false">IFERROR(__xludf.dummyfunction("REGEXEXTRACT(ADDRESS(ROW(), 27+$H19), ""[A-Z]+"")"),"AA")</f>
        <v>AA</v>
      </c>
      <c r="L19" s="89" t="str">
        <f aca="false">IFERROR(__xludf.dummyfunction("REGEXEXTRACT(ADDRESS(ROW(), 28+$H19), ""[A-Z]+"")"),"AB")</f>
        <v>AB</v>
      </c>
      <c r="M19" s="89" t="str">
        <f aca="false">IFERROR(__xludf.dummyfunction("REGEXEXTRACT(ADDRESS(ROW(), 34+$H19), ""[A-Z]+"")"),"AH")</f>
        <v>AH</v>
      </c>
      <c r="N19" s="89" t="str">
        <f aca="false">IFERROR(__xludf.dummyfunction("REGEXEXTRACT(ADDRESS(ROW(), 37+$H19), ""[A-Z]+"")"),"AK")</f>
        <v>AK</v>
      </c>
      <c r="O19" s="89" t="str">
        <f aca="false">IFERROR(__xludf.dummyfunction("REGEXEXTRACT(ADDRESS(ROW(), 38+$H19), ""[A-Z]+"")"),"AL")</f>
        <v>AL</v>
      </c>
      <c r="P19" s="89" t="str">
        <f aca="false">IFERROR(__xludf.dummyfunction("REGEXEXTRACT(ADDRESS(ROW(), 39+$H19), ""[A-Z]+"")"),"AM")</f>
        <v>AM</v>
      </c>
      <c r="Q19" s="89" t="str">
        <f aca="false">IFERROR(__xludf.dummyfunction("REGEXEXTRACT(ADDRESS(ROW(), 40+$H19), ""[A-Z]+"")"),"AN")</f>
        <v>AN</v>
      </c>
      <c r="R19" s="89" t="n">
        <f aca="false">IFERROR(__xludf.dummyfunction("IFERROR(QUERY(INDIRECT(""'""&amp;$F19&amp;""'!C3:""&amp;Q19&amp;""""), ""SELECT ""&amp;I19&amp;"", ""&amp;J19&amp;"", ""&amp;K19&amp;"", ""&amp;L19&amp;"", ""&amp;M19&amp;"", ""&amp;N19&amp;"", ""&amp;O19&amp;"", ""&amp;P19&amp;"" WHERE '""&amp;B19&amp;""' CONTAINS D"", 0), """")"),19)</f>
        <v>19</v>
      </c>
      <c r="S19" s="89" t="n">
        <f aca="false">IFERROR(__xludf.dummyfunction("""COMPUTED_VALUE"""),16)</f>
        <v>16</v>
      </c>
      <c r="T19" s="89"/>
      <c r="U19" s="89"/>
      <c r="V19" s="89" t="n">
        <f aca="false">IFERROR(__xludf.dummyfunction("""COMPUTED_VALUE"""),9)</f>
        <v>9</v>
      </c>
      <c r="W19" s="89"/>
      <c r="X19" s="89" t="n">
        <f aca="false">IFERROR(__xludf.dummyfunction("""COMPUTED_VALUE"""),40)</f>
        <v>40</v>
      </c>
      <c r="Y19" s="89" t="n">
        <f aca="false">IFERROR(__xludf.dummyfunction("""COMPUTED_VALUE"""),84)</f>
        <v>84</v>
      </c>
    </row>
    <row r="20" customFormat="false" ht="17.9" hidden="false" customHeight="false" outlineLevel="0" collapsed="false">
      <c r="A20" s="85" t="n">
        <v>19</v>
      </c>
      <c r="B20" s="85" t="n">
        <v>408184</v>
      </c>
      <c r="C20" s="86" t="s">
        <v>108</v>
      </c>
      <c r="D20" s="87" t="s">
        <v>87</v>
      </c>
      <c r="E20" s="88" t="str">
        <f aca="false">D20</f>
        <v>P3130</v>
      </c>
      <c r="F20" s="88" t="str">
        <f aca="false">REPLACE(E20, 1, 3, "")</f>
        <v>30</v>
      </c>
      <c r="G20" s="89" t="str">
        <f aca="true">IFERROR(VLOOKUP(B20,INDIRECT("'"&amp;$F20&amp;"'!D3:D"),1,FALSE()), "Not found")</f>
        <v>Not found</v>
      </c>
      <c r="H20" s="89" t="n">
        <f aca="true">INDIRECT("'"&amp;$F20&amp;"'!D1")</f>
        <v>0</v>
      </c>
      <c r="I20" s="89" t="str">
        <f aca="false">IFERROR(__xludf.dummyfunction("REGEXEXTRACT(ADDRESS(ROW(), 19+$H20), ""[A-Z]+"")"),"S")</f>
        <v>S</v>
      </c>
      <c r="J20" s="89" t="str">
        <f aca="false">IFERROR(__xludf.dummyfunction("REGEXEXTRACT(ADDRESS(ROW(), 25+$H20), ""[A-Z]+"")"),"Y")</f>
        <v>Y</v>
      </c>
      <c r="K20" s="89" t="str">
        <f aca="false">IFERROR(__xludf.dummyfunction("REGEXEXTRACT(ADDRESS(ROW(), 27+$H20), ""[A-Z]+"")"),"AA")</f>
        <v>AA</v>
      </c>
      <c r="L20" s="89" t="str">
        <f aca="false">IFERROR(__xludf.dummyfunction("REGEXEXTRACT(ADDRESS(ROW(), 28+$H20), ""[A-Z]+"")"),"AB")</f>
        <v>AB</v>
      </c>
      <c r="M20" s="89" t="str">
        <f aca="false">IFERROR(__xludf.dummyfunction("REGEXEXTRACT(ADDRESS(ROW(), 34+$H20), ""[A-Z]+"")"),"AH")</f>
        <v>AH</v>
      </c>
      <c r="N20" s="89" t="str">
        <f aca="false">IFERROR(__xludf.dummyfunction("REGEXEXTRACT(ADDRESS(ROW(), 37+$H20), ""[A-Z]+"")"),"AK")</f>
        <v>AK</v>
      </c>
      <c r="O20" s="89" t="str">
        <f aca="false">IFERROR(__xludf.dummyfunction("REGEXEXTRACT(ADDRESS(ROW(), 38+$H20), ""[A-Z]+"")"),"AL")</f>
        <v>AL</v>
      </c>
      <c r="P20" s="89" t="str">
        <f aca="false">IFERROR(__xludf.dummyfunction("REGEXEXTRACT(ADDRESS(ROW(), 39+$H20), ""[A-Z]+"")"),"AM")</f>
        <v>AM</v>
      </c>
      <c r="Q20" s="89" t="str">
        <f aca="false">IFERROR(__xludf.dummyfunction("REGEXEXTRACT(ADDRESS(ROW(), 40+$H20), ""[A-Z]+"")"),"AN")</f>
        <v>AN</v>
      </c>
      <c r="R20" s="89" t="n">
        <f aca="false">IFERROR(__xludf.dummyfunction("IFERROR(QUERY(INDIRECT(""'""&amp;$F20&amp;""'!C3:""&amp;Q20&amp;""""), ""SELECT ""&amp;I20&amp;"", ""&amp;J20&amp;"", ""&amp;K20&amp;"", ""&amp;L20&amp;"", ""&amp;M20&amp;"", ""&amp;N20&amp;"", ""&amp;O20&amp;"", ""&amp;P20&amp;"" WHERE '""&amp;B20&amp;""' CONTAINS D"", 0), """")"),16.5)</f>
        <v>16.5</v>
      </c>
      <c r="S20" s="89" t="n">
        <f aca="false">IFERROR(__xludf.dummyfunction("""COMPUTED_VALUE"""),16)</f>
        <v>16</v>
      </c>
      <c r="T20" s="89"/>
      <c r="U20" s="89"/>
      <c r="V20" s="89" t="n">
        <f aca="false">IFERROR(__xludf.dummyfunction("""COMPUTED_VALUE"""),6)</f>
        <v>6</v>
      </c>
      <c r="W20" s="89"/>
      <c r="X20" s="89" t="n">
        <f aca="false">IFERROR(__xludf.dummyfunction("""COMPUTED_VALUE"""),40)</f>
        <v>40</v>
      </c>
      <c r="Y20" s="89" t="n">
        <f aca="false">IFERROR(__xludf.dummyfunction("""COMPUTED_VALUE"""),78.5)</f>
        <v>78.5</v>
      </c>
    </row>
    <row r="21" customFormat="false" ht="17.9" hidden="false" customHeight="false" outlineLevel="0" collapsed="false">
      <c r="A21" s="85" t="n">
        <v>20</v>
      </c>
      <c r="B21" s="85" t="n">
        <v>465105</v>
      </c>
      <c r="C21" s="86" t="s">
        <v>109</v>
      </c>
      <c r="D21" s="87" t="s">
        <v>95</v>
      </c>
      <c r="E21" s="88" t="str">
        <f aca="false">D21</f>
        <v>P3106</v>
      </c>
      <c r="F21" s="88" t="str">
        <f aca="false">REPLACE(E21, 1, 3, "")</f>
        <v>06</v>
      </c>
      <c r="G21" s="89" t="str">
        <f aca="true">IFERROR(VLOOKUP(B21,INDIRECT("'"&amp;$F21&amp;"'!D3:D"),1,FALSE()), "Not found")</f>
        <v>Not found</v>
      </c>
      <c r="H21" s="89" t="n">
        <f aca="true">INDIRECT("'"&amp;$F21&amp;"'!D1")</f>
        <v>0</v>
      </c>
      <c r="I21" s="89" t="str">
        <f aca="false">IFERROR(__xludf.dummyfunction("REGEXEXTRACT(ADDRESS(ROW(), 19+$H21), ""[A-Z]+"")"),"S")</f>
        <v>S</v>
      </c>
      <c r="J21" s="89" t="str">
        <f aca="false">IFERROR(__xludf.dummyfunction("REGEXEXTRACT(ADDRESS(ROW(), 25+$H21), ""[A-Z]+"")"),"Y")</f>
        <v>Y</v>
      </c>
      <c r="K21" s="89" t="str">
        <f aca="false">IFERROR(__xludf.dummyfunction("REGEXEXTRACT(ADDRESS(ROW(), 27+$H21), ""[A-Z]+"")"),"AA")</f>
        <v>AA</v>
      </c>
      <c r="L21" s="89" t="str">
        <f aca="false">IFERROR(__xludf.dummyfunction("REGEXEXTRACT(ADDRESS(ROW(), 28+$H21), ""[A-Z]+"")"),"AB")</f>
        <v>AB</v>
      </c>
      <c r="M21" s="89" t="str">
        <f aca="false">IFERROR(__xludf.dummyfunction("REGEXEXTRACT(ADDRESS(ROW(), 34+$H21), ""[A-Z]+"")"),"AH")</f>
        <v>AH</v>
      </c>
      <c r="N21" s="89" t="str">
        <f aca="false">IFERROR(__xludf.dummyfunction("REGEXEXTRACT(ADDRESS(ROW(), 37+$H21), ""[A-Z]+"")"),"AK")</f>
        <v>AK</v>
      </c>
      <c r="O21" s="89" t="str">
        <f aca="false">IFERROR(__xludf.dummyfunction("REGEXEXTRACT(ADDRESS(ROW(), 38+$H21), ""[A-Z]+"")"),"AL")</f>
        <v>AL</v>
      </c>
      <c r="P21" s="89" t="str">
        <f aca="false">IFERROR(__xludf.dummyfunction("REGEXEXTRACT(ADDRESS(ROW(), 39+$H21), ""[A-Z]+"")"),"AM")</f>
        <v>AM</v>
      </c>
      <c r="Q21" s="89" t="str">
        <f aca="false">IFERROR(__xludf.dummyfunction("REGEXEXTRACT(ADDRESS(ROW(), 40+$H21), ""[A-Z]+"")"),"AN")</f>
        <v>AN</v>
      </c>
      <c r="R21" s="89" t="n">
        <f aca="false">IFERROR(__xludf.dummyfunction("IFERROR(QUERY(INDIRECT(""'""&amp;$F21&amp;""'!C3:""&amp;Q21&amp;""""), ""SELECT ""&amp;I21&amp;"", ""&amp;J21&amp;"", ""&amp;K21&amp;"", ""&amp;L21&amp;"", ""&amp;M21&amp;"", ""&amp;N21&amp;"", ""&amp;O21&amp;"", ""&amp;P21&amp;"" WHERE '""&amp;B21&amp;""' CONTAINS D"", 0), """")"),19)</f>
        <v>19</v>
      </c>
      <c r="S21" s="89" t="n">
        <f aca="false">IFERROR(__xludf.dummyfunction("""COMPUTED_VALUE"""),17)</f>
        <v>17</v>
      </c>
      <c r="T21" s="89"/>
      <c r="U21" s="89"/>
      <c r="V21" s="89" t="n">
        <f aca="false">IFERROR(__xludf.dummyfunction("""COMPUTED_VALUE"""),9)</f>
        <v>9</v>
      </c>
      <c r="W21" s="89"/>
      <c r="X21" s="89" t="n">
        <f aca="false">IFERROR(__xludf.dummyfunction("""COMPUTED_VALUE"""),40)</f>
        <v>40</v>
      </c>
      <c r="Y21" s="89" t="n">
        <f aca="false">IFERROR(__xludf.dummyfunction("""COMPUTED_VALUE"""),85)</f>
        <v>85</v>
      </c>
    </row>
    <row r="22" customFormat="false" ht="17.9" hidden="false" customHeight="false" outlineLevel="0" collapsed="false">
      <c r="A22" s="85" t="n">
        <v>21</v>
      </c>
      <c r="B22" s="85" t="n">
        <v>465142</v>
      </c>
      <c r="C22" s="86" t="s">
        <v>110</v>
      </c>
      <c r="D22" s="87" t="s">
        <v>102</v>
      </c>
      <c r="E22" s="88" t="str">
        <f aca="false">D22</f>
        <v>P3110</v>
      </c>
      <c r="F22" s="88" t="str">
        <f aca="false">REPLACE(E22, 1, 3, "")</f>
        <v>10</v>
      </c>
      <c r="G22" s="89" t="str">
        <f aca="true">IFERROR(VLOOKUP(B22,INDIRECT("'"&amp;$F22&amp;"'!D3:D"),1,FALSE()), "Not found")</f>
        <v>Not found</v>
      </c>
      <c r="H22" s="89" t="n">
        <f aca="true">INDIRECT("'"&amp;$F22&amp;"'!D1")</f>
        <v>0</v>
      </c>
      <c r="I22" s="89" t="str">
        <f aca="false">IFERROR(__xludf.dummyfunction("REGEXEXTRACT(ADDRESS(ROW(), 19+$H22), ""[A-Z]+"")"),"S")</f>
        <v>S</v>
      </c>
      <c r="J22" s="89" t="str">
        <f aca="false">IFERROR(__xludf.dummyfunction("REGEXEXTRACT(ADDRESS(ROW(), 25+$H22), ""[A-Z]+"")"),"Y")</f>
        <v>Y</v>
      </c>
      <c r="K22" s="89" t="str">
        <f aca="false">IFERROR(__xludf.dummyfunction("REGEXEXTRACT(ADDRESS(ROW(), 27+$H22), ""[A-Z]+"")"),"AA")</f>
        <v>AA</v>
      </c>
      <c r="L22" s="89" t="str">
        <f aca="false">IFERROR(__xludf.dummyfunction("REGEXEXTRACT(ADDRESS(ROW(), 28+$H22), ""[A-Z]+"")"),"AB")</f>
        <v>AB</v>
      </c>
      <c r="M22" s="89" t="str">
        <f aca="false">IFERROR(__xludf.dummyfunction("REGEXEXTRACT(ADDRESS(ROW(), 34+$H22), ""[A-Z]+"")"),"AH")</f>
        <v>AH</v>
      </c>
      <c r="N22" s="89" t="str">
        <f aca="false">IFERROR(__xludf.dummyfunction("REGEXEXTRACT(ADDRESS(ROW(), 37+$H22), ""[A-Z]+"")"),"AK")</f>
        <v>AK</v>
      </c>
      <c r="O22" s="89" t="str">
        <f aca="false">IFERROR(__xludf.dummyfunction("REGEXEXTRACT(ADDRESS(ROW(), 38+$H22), ""[A-Z]+"")"),"AL")</f>
        <v>AL</v>
      </c>
      <c r="P22" s="89" t="str">
        <f aca="false">IFERROR(__xludf.dummyfunction("REGEXEXTRACT(ADDRESS(ROW(), 39+$H22), ""[A-Z]+"")"),"AM")</f>
        <v>AM</v>
      </c>
      <c r="Q22" s="89" t="str">
        <f aca="false">IFERROR(__xludf.dummyfunction("REGEXEXTRACT(ADDRESS(ROW(), 40+$H22), ""[A-Z]+"")"),"AN")</f>
        <v>AN</v>
      </c>
      <c r="R22" s="89" t="n">
        <f aca="false">IFERROR(__xludf.dummyfunction("IFERROR(QUERY(INDIRECT(""'""&amp;$F22&amp;""'!C3:""&amp;Q22&amp;""""), ""SELECT ""&amp;I22&amp;"", ""&amp;J22&amp;"", ""&amp;K22&amp;"", ""&amp;L22&amp;"", ""&amp;M22&amp;"", ""&amp;N22&amp;"", ""&amp;O22&amp;"", ""&amp;P22&amp;"" WHERE '""&amp;B22&amp;""' CONTAINS D"", 0), """")"),16)</f>
        <v>16</v>
      </c>
      <c r="S22" s="89" t="n">
        <f aca="false">IFERROR(__xludf.dummyfunction("""COMPUTED_VALUE"""),17)</f>
        <v>17</v>
      </c>
      <c r="T22" s="89"/>
      <c r="U22" s="89"/>
      <c r="V22" s="89" t="n">
        <f aca="false">IFERROR(__xludf.dummyfunction("""COMPUTED_VALUE"""),9)</f>
        <v>9</v>
      </c>
      <c r="W22" s="89"/>
      <c r="X22" s="89" t="n">
        <f aca="false">IFERROR(__xludf.dummyfunction("""COMPUTED_VALUE"""),40)</f>
        <v>40</v>
      </c>
      <c r="Y22" s="89" t="n">
        <f aca="false">IFERROR(__xludf.dummyfunction("""COMPUTED_VALUE"""),82)</f>
        <v>82</v>
      </c>
    </row>
    <row r="23" customFormat="false" ht="17.9" hidden="false" customHeight="false" outlineLevel="0" collapsed="false">
      <c r="A23" s="85" t="n">
        <v>22</v>
      </c>
      <c r="B23" s="85" t="n">
        <v>471733</v>
      </c>
      <c r="C23" s="86" t="s">
        <v>111</v>
      </c>
      <c r="D23" s="87" t="s">
        <v>89</v>
      </c>
      <c r="E23" s="88" t="str">
        <f aca="false">D23</f>
        <v>P3119</v>
      </c>
      <c r="F23" s="88" t="str">
        <f aca="false">REPLACE(E23, 1, 3, "")</f>
        <v>19</v>
      </c>
      <c r="G23" s="89" t="str">
        <f aca="true">IFERROR(VLOOKUP(B23,INDIRECT("'"&amp;$F23&amp;"'!D3:D"),1,FALSE()), "Not found")</f>
        <v>Not found</v>
      </c>
      <c r="H23" s="89" t="n">
        <f aca="true">INDIRECT("'"&amp;$F23&amp;"'!D1")</f>
        <v>0</v>
      </c>
      <c r="I23" s="89" t="str">
        <f aca="false">IFERROR(__xludf.dummyfunction("REGEXEXTRACT(ADDRESS(ROW(), 19+$H23), ""[A-Z]+"")"),"S")</f>
        <v>S</v>
      </c>
      <c r="J23" s="89" t="str">
        <f aca="false">IFERROR(__xludf.dummyfunction("REGEXEXTRACT(ADDRESS(ROW(), 25+$H23), ""[A-Z]+"")"),"Y")</f>
        <v>Y</v>
      </c>
      <c r="K23" s="89" t="str">
        <f aca="false">IFERROR(__xludf.dummyfunction("REGEXEXTRACT(ADDRESS(ROW(), 27+$H23), ""[A-Z]+"")"),"AA")</f>
        <v>AA</v>
      </c>
      <c r="L23" s="89" t="str">
        <f aca="false">IFERROR(__xludf.dummyfunction("REGEXEXTRACT(ADDRESS(ROW(), 28+$H23), ""[A-Z]+"")"),"AB")</f>
        <v>AB</v>
      </c>
      <c r="M23" s="89" t="str">
        <f aca="false">IFERROR(__xludf.dummyfunction("REGEXEXTRACT(ADDRESS(ROW(), 34+$H23), ""[A-Z]+"")"),"AH")</f>
        <v>AH</v>
      </c>
      <c r="N23" s="89" t="str">
        <f aca="false">IFERROR(__xludf.dummyfunction("REGEXEXTRACT(ADDRESS(ROW(), 37+$H23), ""[A-Z]+"")"),"AK")</f>
        <v>AK</v>
      </c>
      <c r="O23" s="89" t="str">
        <f aca="false">IFERROR(__xludf.dummyfunction("REGEXEXTRACT(ADDRESS(ROW(), 38+$H23), ""[A-Z]+"")"),"AL")</f>
        <v>AL</v>
      </c>
      <c r="P23" s="89" t="str">
        <f aca="false">IFERROR(__xludf.dummyfunction("REGEXEXTRACT(ADDRESS(ROW(), 39+$H23), ""[A-Z]+"")"),"AM")</f>
        <v>AM</v>
      </c>
      <c r="Q23" s="89" t="str">
        <f aca="false">IFERROR(__xludf.dummyfunction("REGEXEXTRACT(ADDRESS(ROW(), 40+$H23), ""[A-Z]+"")"),"AN")</f>
        <v>AN</v>
      </c>
      <c r="R23" s="89" t="n">
        <f aca="false">IFERROR(__xludf.dummyfunction("IFERROR(QUERY(INDIRECT(""'""&amp;$F23&amp;""'!C3:""&amp;Q23&amp;""""), ""SELECT ""&amp;I23&amp;"", ""&amp;J23&amp;"", ""&amp;K23&amp;"", ""&amp;L23&amp;"", ""&amp;M23&amp;"", ""&amp;N23&amp;"", ""&amp;O23&amp;"", ""&amp;P23&amp;"" WHERE '""&amp;B23&amp;""' CONTAINS D"", 0), """")"),18)</f>
        <v>18</v>
      </c>
      <c r="S23" s="89" t="n">
        <f aca="false">IFERROR(__xludf.dummyfunction("""COMPUTED_VALUE"""),20)</f>
        <v>20</v>
      </c>
      <c r="T23" s="89"/>
      <c r="U23" s="89"/>
      <c r="V23" s="89" t="n">
        <f aca="false">IFERROR(__xludf.dummyfunction("""COMPUTED_VALUE"""),10)</f>
        <v>10</v>
      </c>
      <c r="W23" s="89"/>
      <c r="X23" s="89" t="n">
        <f aca="false">IFERROR(__xludf.dummyfunction("""COMPUTED_VALUE"""),40)</f>
        <v>40</v>
      </c>
      <c r="Y23" s="89" t="n">
        <f aca="false">IFERROR(__xludf.dummyfunction("""COMPUTED_VALUE"""),88)</f>
        <v>88</v>
      </c>
    </row>
    <row r="24" customFormat="false" ht="17.9" hidden="false" customHeight="false" outlineLevel="0" collapsed="false">
      <c r="A24" s="85" t="n">
        <v>23</v>
      </c>
      <c r="B24" s="85" t="n">
        <v>465186</v>
      </c>
      <c r="C24" s="86" t="s">
        <v>112</v>
      </c>
      <c r="D24" s="87" t="s">
        <v>87</v>
      </c>
      <c r="E24" s="88" t="str">
        <f aca="false">D24</f>
        <v>P3130</v>
      </c>
      <c r="F24" s="88" t="str">
        <f aca="false">REPLACE(E24, 1, 3, "")</f>
        <v>30</v>
      </c>
      <c r="G24" s="89" t="str">
        <f aca="true">IFERROR(VLOOKUP(B24,INDIRECT("'"&amp;$F24&amp;"'!D3:D"),1,FALSE()), "Not found")</f>
        <v>Not found</v>
      </c>
      <c r="H24" s="89" t="n">
        <f aca="true">INDIRECT("'"&amp;$F24&amp;"'!D1")</f>
        <v>0</v>
      </c>
      <c r="I24" s="89" t="str">
        <f aca="false">IFERROR(__xludf.dummyfunction("REGEXEXTRACT(ADDRESS(ROW(), 19+$H24), ""[A-Z]+"")"),"S")</f>
        <v>S</v>
      </c>
      <c r="J24" s="89" t="str">
        <f aca="false">IFERROR(__xludf.dummyfunction("REGEXEXTRACT(ADDRESS(ROW(), 25+$H24), ""[A-Z]+"")"),"Y")</f>
        <v>Y</v>
      </c>
      <c r="K24" s="89" t="str">
        <f aca="false">IFERROR(__xludf.dummyfunction("REGEXEXTRACT(ADDRESS(ROW(), 27+$H24), ""[A-Z]+"")"),"AA")</f>
        <v>AA</v>
      </c>
      <c r="L24" s="89" t="str">
        <f aca="false">IFERROR(__xludf.dummyfunction("REGEXEXTRACT(ADDRESS(ROW(), 28+$H24), ""[A-Z]+"")"),"AB")</f>
        <v>AB</v>
      </c>
      <c r="M24" s="89" t="str">
        <f aca="false">IFERROR(__xludf.dummyfunction("REGEXEXTRACT(ADDRESS(ROW(), 34+$H24), ""[A-Z]+"")"),"AH")</f>
        <v>AH</v>
      </c>
      <c r="N24" s="89" t="str">
        <f aca="false">IFERROR(__xludf.dummyfunction("REGEXEXTRACT(ADDRESS(ROW(), 37+$H24), ""[A-Z]+"")"),"AK")</f>
        <v>AK</v>
      </c>
      <c r="O24" s="89" t="str">
        <f aca="false">IFERROR(__xludf.dummyfunction("REGEXEXTRACT(ADDRESS(ROW(), 38+$H24), ""[A-Z]+"")"),"AL")</f>
        <v>AL</v>
      </c>
      <c r="P24" s="89" t="str">
        <f aca="false">IFERROR(__xludf.dummyfunction("REGEXEXTRACT(ADDRESS(ROW(), 39+$H24), ""[A-Z]+"")"),"AM")</f>
        <v>AM</v>
      </c>
      <c r="Q24" s="89" t="str">
        <f aca="false">IFERROR(__xludf.dummyfunction("REGEXEXTRACT(ADDRESS(ROW(), 40+$H24), ""[A-Z]+"")"),"AN")</f>
        <v>AN</v>
      </c>
      <c r="R24" s="89" t="n">
        <f aca="false">IFERROR(__xludf.dummyfunction("IFERROR(QUERY(INDIRECT(""'""&amp;$F24&amp;""'!C3:""&amp;Q24&amp;""""), ""SELECT ""&amp;I24&amp;"", ""&amp;J24&amp;"", ""&amp;K24&amp;"", ""&amp;L24&amp;"", ""&amp;M24&amp;"", ""&amp;N24&amp;"", ""&amp;O24&amp;"", ""&amp;P24&amp;"" WHERE '""&amp;B24&amp;""' CONTAINS D"", 0), """")"),20)</f>
        <v>20</v>
      </c>
      <c r="S24" s="89" t="n">
        <f aca="false">IFERROR(__xludf.dummyfunction("""COMPUTED_VALUE"""),14)</f>
        <v>14</v>
      </c>
      <c r="T24" s="89"/>
      <c r="U24" s="89"/>
      <c r="V24" s="89" t="n">
        <f aca="false">IFERROR(__xludf.dummyfunction("""COMPUTED_VALUE"""),8)</f>
        <v>8</v>
      </c>
      <c r="W24" s="89"/>
      <c r="X24" s="89" t="n">
        <f aca="false">IFERROR(__xludf.dummyfunction("""COMPUTED_VALUE"""),40)</f>
        <v>40</v>
      </c>
      <c r="Y24" s="89" t="n">
        <f aca="false">IFERROR(__xludf.dummyfunction("""COMPUTED_VALUE"""),82)</f>
        <v>82</v>
      </c>
    </row>
    <row r="25" customFormat="false" ht="17.9" hidden="false" customHeight="false" outlineLevel="0" collapsed="false">
      <c r="A25" s="85" t="n">
        <v>24</v>
      </c>
      <c r="B25" s="85" t="n">
        <v>407784</v>
      </c>
      <c r="C25" s="86" t="s">
        <v>113</v>
      </c>
      <c r="D25" s="87" t="s">
        <v>85</v>
      </c>
      <c r="E25" s="88" t="str">
        <f aca="false">D25</f>
        <v>P3132</v>
      </c>
      <c r="F25" s="88" t="str">
        <f aca="false">REPLACE(E25, 1, 3, "")</f>
        <v>32</v>
      </c>
      <c r="G25" s="89" t="str">
        <f aca="true">IFERROR(VLOOKUP(B25,INDIRECT("'"&amp;$F25&amp;"'!D3:D"),1,FALSE()), "Not found")</f>
        <v>Not found</v>
      </c>
      <c r="H25" s="89" t="n">
        <f aca="true">INDIRECT("'"&amp;$F25&amp;"'!D1")</f>
        <v>0</v>
      </c>
      <c r="I25" s="89" t="str">
        <f aca="false">IFERROR(__xludf.dummyfunction("REGEXEXTRACT(ADDRESS(ROW(), 19+$H25), ""[A-Z]+"")"),"S")</f>
        <v>S</v>
      </c>
      <c r="J25" s="89" t="str">
        <f aca="false">IFERROR(__xludf.dummyfunction("REGEXEXTRACT(ADDRESS(ROW(), 25+$H25), ""[A-Z]+"")"),"Y")</f>
        <v>Y</v>
      </c>
      <c r="K25" s="89" t="str">
        <f aca="false">IFERROR(__xludf.dummyfunction("REGEXEXTRACT(ADDRESS(ROW(), 27+$H25), ""[A-Z]+"")"),"AA")</f>
        <v>AA</v>
      </c>
      <c r="L25" s="89" t="str">
        <f aca="false">IFERROR(__xludf.dummyfunction("REGEXEXTRACT(ADDRESS(ROW(), 28+$H25), ""[A-Z]+"")"),"AB")</f>
        <v>AB</v>
      </c>
      <c r="M25" s="89" t="str">
        <f aca="false">IFERROR(__xludf.dummyfunction("REGEXEXTRACT(ADDRESS(ROW(), 34+$H25), ""[A-Z]+"")"),"AH")</f>
        <v>AH</v>
      </c>
      <c r="N25" s="89" t="str">
        <f aca="false">IFERROR(__xludf.dummyfunction("REGEXEXTRACT(ADDRESS(ROW(), 37+$H25), ""[A-Z]+"")"),"AK")</f>
        <v>AK</v>
      </c>
      <c r="O25" s="89" t="str">
        <f aca="false">IFERROR(__xludf.dummyfunction("REGEXEXTRACT(ADDRESS(ROW(), 38+$H25), ""[A-Z]+"")"),"AL")</f>
        <v>AL</v>
      </c>
      <c r="P25" s="89" t="str">
        <f aca="false">IFERROR(__xludf.dummyfunction("REGEXEXTRACT(ADDRESS(ROW(), 39+$H25), ""[A-Z]+"")"),"AM")</f>
        <v>AM</v>
      </c>
      <c r="Q25" s="89" t="str">
        <f aca="false">IFERROR(__xludf.dummyfunction("REGEXEXTRACT(ADDRESS(ROW(), 40+$H25), ""[A-Z]+"")"),"AN")</f>
        <v>AN</v>
      </c>
      <c r="R25" s="89" t="n">
        <f aca="false">IFERROR(__xludf.dummyfunction("IFERROR(QUERY(INDIRECT(""'""&amp;$F25&amp;""'!C3:""&amp;Q25&amp;""""), ""SELECT ""&amp;I25&amp;"", ""&amp;J25&amp;"", ""&amp;K25&amp;"", ""&amp;L25&amp;"", ""&amp;M25&amp;"", ""&amp;N25&amp;"", ""&amp;O25&amp;"", ""&amp;P25&amp;"" WHERE '""&amp;B25&amp;""' CONTAINS D"", 0), """")"),17)</f>
        <v>17</v>
      </c>
      <c r="S25" s="89" t="n">
        <f aca="false">IFERROR(__xludf.dummyfunction("""COMPUTED_VALUE"""),14)</f>
        <v>14</v>
      </c>
      <c r="T25" s="89"/>
      <c r="U25" s="89"/>
      <c r="V25" s="89" t="n">
        <f aca="false">IFERROR(__xludf.dummyfunction("""COMPUTED_VALUE"""),6)</f>
        <v>6</v>
      </c>
      <c r="W25" s="89"/>
      <c r="X25" s="89" t="n">
        <f aca="false">IFERROR(__xludf.dummyfunction("""COMPUTED_VALUE"""),24)</f>
        <v>24</v>
      </c>
      <c r="Y25" s="89" t="n">
        <f aca="false">IFERROR(__xludf.dummyfunction("""COMPUTED_VALUE"""),61)</f>
        <v>61</v>
      </c>
    </row>
    <row r="26" customFormat="false" ht="17.9" hidden="false" customHeight="false" outlineLevel="0" collapsed="false">
      <c r="A26" s="85" t="n">
        <v>25</v>
      </c>
      <c r="B26" s="85" t="n">
        <v>408076</v>
      </c>
      <c r="C26" s="86" t="s">
        <v>114</v>
      </c>
      <c r="D26" s="87" t="s">
        <v>95</v>
      </c>
      <c r="E26" s="88" t="str">
        <f aca="false">D26</f>
        <v>P3106</v>
      </c>
      <c r="F26" s="88" t="str">
        <f aca="false">REPLACE(E26, 1, 3, "")</f>
        <v>06</v>
      </c>
      <c r="G26" s="89" t="str">
        <f aca="true">IFERROR(VLOOKUP(B26,INDIRECT("'"&amp;$F26&amp;"'!D3:D"),1,FALSE()), "Not found")</f>
        <v>Not found</v>
      </c>
      <c r="H26" s="89" t="n">
        <f aca="true">INDIRECT("'"&amp;$F26&amp;"'!D1")</f>
        <v>0</v>
      </c>
      <c r="I26" s="89" t="str">
        <f aca="false">IFERROR(__xludf.dummyfunction("REGEXEXTRACT(ADDRESS(ROW(), 19+$H26), ""[A-Z]+"")"),"S")</f>
        <v>S</v>
      </c>
      <c r="J26" s="89" t="str">
        <f aca="false">IFERROR(__xludf.dummyfunction("REGEXEXTRACT(ADDRESS(ROW(), 25+$H26), ""[A-Z]+"")"),"Y")</f>
        <v>Y</v>
      </c>
      <c r="K26" s="89" t="str">
        <f aca="false">IFERROR(__xludf.dummyfunction("REGEXEXTRACT(ADDRESS(ROW(), 27+$H26), ""[A-Z]+"")"),"AA")</f>
        <v>AA</v>
      </c>
      <c r="L26" s="89" t="str">
        <f aca="false">IFERROR(__xludf.dummyfunction("REGEXEXTRACT(ADDRESS(ROW(), 28+$H26), ""[A-Z]+"")"),"AB")</f>
        <v>AB</v>
      </c>
      <c r="M26" s="89" t="str">
        <f aca="false">IFERROR(__xludf.dummyfunction("REGEXEXTRACT(ADDRESS(ROW(), 34+$H26), ""[A-Z]+"")"),"AH")</f>
        <v>AH</v>
      </c>
      <c r="N26" s="89" t="str">
        <f aca="false">IFERROR(__xludf.dummyfunction("REGEXEXTRACT(ADDRESS(ROW(), 37+$H26), ""[A-Z]+"")"),"AK")</f>
        <v>AK</v>
      </c>
      <c r="O26" s="89" t="str">
        <f aca="false">IFERROR(__xludf.dummyfunction("REGEXEXTRACT(ADDRESS(ROW(), 38+$H26), ""[A-Z]+"")"),"AL")</f>
        <v>AL</v>
      </c>
      <c r="P26" s="89" t="str">
        <f aca="false">IFERROR(__xludf.dummyfunction("REGEXEXTRACT(ADDRESS(ROW(), 39+$H26), ""[A-Z]+"")"),"AM")</f>
        <v>AM</v>
      </c>
      <c r="Q26" s="89" t="str">
        <f aca="false">IFERROR(__xludf.dummyfunction("REGEXEXTRACT(ADDRESS(ROW(), 40+$H26), ""[A-Z]+"")"),"AN")</f>
        <v>AN</v>
      </c>
      <c r="R26" s="89" t="n">
        <f aca="false">IFERROR(__xludf.dummyfunction("IFERROR(QUERY(INDIRECT(""'""&amp;$F26&amp;""'!C3:""&amp;Q26&amp;""""), ""SELECT ""&amp;I26&amp;"", ""&amp;J26&amp;"", ""&amp;K26&amp;"", ""&amp;L26&amp;"", ""&amp;M26&amp;"", ""&amp;N26&amp;"", ""&amp;O26&amp;"", ""&amp;P26&amp;"" WHERE '""&amp;B26&amp;""' CONTAINS D"", 0), """")"),16)</f>
        <v>16</v>
      </c>
      <c r="S26" s="89" t="n">
        <f aca="false">IFERROR(__xludf.dummyfunction("""COMPUTED_VALUE"""),16)</f>
        <v>16</v>
      </c>
      <c r="T26" s="89"/>
      <c r="U26" s="89"/>
      <c r="V26" s="89" t="n">
        <f aca="false">IFERROR(__xludf.dummyfunction("""COMPUTED_VALUE"""),6)</f>
        <v>6</v>
      </c>
      <c r="W26" s="89"/>
      <c r="X26" s="89" t="n">
        <f aca="false">IFERROR(__xludf.dummyfunction("""COMPUTED_VALUE"""),35)</f>
        <v>35</v>
      </c>
      <c r="Y26" s="89" t="n">
        <f aca="false">IFERROR(__xludf.dummyfunction("""COMPUTED_VALUE"""),73)</f>
        <v>73</v>
      </c>
    </row>
    <row r="27" customFormat="false" ht="17.9" hidden="false" customHeight="false" outlineLevel="0" collapsed="false">
      <c r="A27" s="85" t="n">
        <v>26</v>
      </c>
      <c r="B27" s="85" t="n">
        <v>465211</v>
      </c>
      <c r="C27" s="86" t="s">
        <v>115</v>
      </c>
      <c r="D27" s="87" t="s">
        <v>100</v>
      </c>
      <c r="E27" s="88" t="str">
        <f aca="false">D27</f>
        <v>P3112</v>
      </c>
      <c r="F27" s="88" t="str">
        <f aca="false">REPLACE(E27, 1, 3, "")</f>
        <v>12</v>
      </c>
      <c r="G27" s="89" t="str">
        <f aca="true">IFERROR(VLOOKUP(B27,INDIRECT("'"&amp;$F27&amp;"'!D3:D"),1,FALSE()), "Not found")</f>
        <v>Not found</v>
      </c>
      <c r="H27" s="89" t="n">
        <f aca="true">INDIRECT("'"&amp;$F27&amp;"'!D1")</f>
        <v>0</v>
      </c>
      <c r="I27" s="89" t="str">
        <f aca="false">IFERROR(__xludf.dummyfunction("REGEXEXTRACT(ADDRESS(ROW(), 19+$H27), ""[A-Z]+"")"),"S")</f>
        <v>S</v>
      </c>
      <c r="J27" s="89" t="str">
        <f aca="false">IFERROR(__xludf.dummyfunction("REGEXEXTRACT(ADDRESS(ROW(), 25+$H27), ""[A-Z]+"")"),"Y")</f>
        <v>Y</v>
      </c>
      <c r="K27" s="89" t="str">
        <f aca="false">IFERROR(__xludf.dummyfunction("REGEXEXTRACT(ADDRESS(ROW(), 27+$H27), ""[A-Z]+"")"),"AA")</f>
        <v>AA</v>
      </c>
      <c r="L27" s="89" t="str">
        <f aca="false">IFERROR(__xludf.dummyfunction("REGEXEXTRACT(ADDRESS(ROW(), 28+$H27), ""[A-Z]+"")"),"AB")</f>
        <v>AB</v>
      </c>
      <c r="M27" s="89" t="str">
        <f aca="false">IFERROR(__xludf.dummyfunction("REGEXEXTRACT(ADDRESS(ROW(), 34+$H27), ""[A-Z]+"")"),"AH")</f>
        <v>AH</v>
      </c>
      <c r="N27" s="89" t="str">
        <f aca="false">IFERROR(__xludf.dummyfunction("REGEXEXTRACT(ADDRESS(ROW(), 37+$H27), ""[A-Z]+"")"),"AK")</f>
        <v>AK</v>
      </c>
      <c r="O27" s="89" t="str">
        <f aca="false">IFERROR(__xludf.dummyfunction("REGEXEXTRACT(ADDRESS(ROW(), 38+$H27), ""[A-Z]+"")"),"AL")</f>
        <v>AL</v>
      </c>
      <c r="P27" s="89" t="str">
        <f aca="false">IFERROR(__xludf.dummyfunction("REGEXEXTRACT(ADDRESS(ROW(), 39+$H27), ""[A-Z]+"")"),"AM")</f>
        <v>AM</v>
      </c>
      <c r="Q27" s="89" t="str">
        <f aca="false">IFERROR(__xludf.dummyfunction("REGEXEXTRACT(ADDRESS(ROW(), 40+$H27), ""[A-Z]+"")"),"AN")</f>
        <v>AN</v>
      </c>
      <c r="R27" s="89" t="n">
        <f aca="false">IFERROR(__xludf.dummyfunction("IFERROR(QUERY(INDIRECT(""'""&amp;$F27&amp;""'!C3:""&amp;Q27&amp;""""), ""SELECT ""&amp;I27&amp;"", ""&amp;J27&amp;"", ""&amp;K27&amp;"", ""&amp;L27&amp;"", ""&amp;M27&amp;"", ""&amp;N27&amp;"", ""&amp;O27&amp;"", ""&amp;P27&amp;"" WHERE '""&amp;B27&amp;""' CONTAINS D"", 0), """")"),18)</f>
        <v>18</v>
      </c>
      <c r="S27" s="89" t="n">
        <f aca="false">IFERROR(__xludf.dummyfunction("""COMPUTED_VALUE"""),19)</f>
        <v>19</v>
      </c>
      <c r="T27" s="89"/>
      <c r="U27" s="89"/>
      <c r="V27" s="89" t="n">
        <f aca="false">IFERROR(__xludf.dummyfunction("""COMPUTED_VALUE"""),10)</f>
        <v>10</v>
      </c>
      <c r="W27" s="89"/>
      <c r="X27" s="89" t="n">
        <f aca="false">IFERROR(__xludf.dummyfunction("""COMPUTED_VALUE"""),40)</f>
        <v>40</v>
      </c>
      <c r="Y27" s="89" t="n">
        <f aca="false">IFERROR(__xludf.dummyfunction("""COMPUTED_VALUE"""),87)</f>
        <v>87</v>
      </c>
    </row>
    <row r="28" customFormat="false" ht="17.9" hidden="false" customHeight="false" outlineLevel="0" collapsed="false">
      <c r="A28" s="85" t="n">
        <v>27</v>
      </c>
      <c r="B28" s="85" t="n">
        <v>465224</v>
      </c>
      <c r="C28" s="86" t="s">
        <v>116</v>
      </c>
      <c r="D28" s="87" t="s">
        <v>117</v>
      </c>
      <c r="E28" s="88" t="str">
        <f aca="false">D28</f>
        <v>P3116</v>
      </c>
      <c r="F28" s="88" t="str">
        <f aca="false">REPLACE(E28, 1, 3, "")</f>
        <v>16</v>
      </c>
      <c r="G28" s="89" t="n">
        <f aca="true">IFERROR(VLOOKUP(B28,INDIRECT("'"&amp;$F28&amp;"'!D3:D"),1,FALSE()), "Not found")</f>
        <v>465224</v>
      </c>
      <c r="H28" s="89" t="n">
        <f aca="true">INDIRECT("'"&amp;$F28&amp;"'!D1")</f>
        <v>0</v>
      </c>
      <c r="I28" s="89" t="str">
        <f aca="false">IFERROR(__xludf.dummyfunction("REGEXEXTRACT(ADDRESS(ROW(), 19+$H28), ""[A-Z]+"")"),"S")</f>
        <v>S</v>
      </c>
      <c r="J28" s="89" t="str">
        <f aca="false">IFERROR(__xludf.dummyfunction("REGEXEXTRACT(ADDRESS(ROW(), 25+$H28), ""[A-Z]+"")"),"Y")</f>
        <v>Y</v>
      </c>
      <c r="K28" s="89" t="str">
        <f aca="false">IFERROR(__xludf.dummyfunction("REGEXEXTRACT(ADDRESS(ROW(), 27+$H28), ""[A-Z]+"")"),"AA")</f>
        <v>AA</v>
      </c>
      <c r="L28" s="89" t="str">
        <f aca="false">IFERROR(__xludf.dummyfunction("REGEXEXTRACT(ADDRESS(ROW(), 28+$H28), ""[A-Z]+"")"),"AB")</f>
        <v>AB</v>
      </c>
      <c r="M28" s="89" t="str">
        <f aca="false">IFERROR(__xludf.dummyfunction("REGEXEXTRACT(ADDRESS(ROW(), 34+$H28), ""[A-Z]+"")"),"AH")</f>
        <v>AH</v>
      </c>
      <c r="N28" s="89" t="str">
        <f aca="false">IFERROR(__xludf.dummyfunction("REGEXEXTRACT(ADDRESS(ROW(), 37+$H28), ""[A-Z]+"")"),"AK")</f>
        <v>AK</v>
      </c>
      <c r="O28" s="89" t="str">
        <f aca="false">IFERROR(__xludf.dummyfunction("REGEXEXTRACT(ADDRESS(ROW(), 38+$H28), ""[A-Z]+"")"),"AL")</f>
        <v>AL</v>
      </c>
      <c r="P28" s="89" t="str">
        <f aca="false">IFERROR(__xludf.dummyfunction("REGEXEXTRACT(ADDRESS(ROW(), 39+$H28), ""[A-Z]+"")"),"AM")</f>
        <v>AM</v>
      </c>
      <c r="Q28" s="89" t="str">
        <f aca="false">IFERROR(__xludf.dummyfunction("REGEXEXTRACT(ADDRESS(ROW(), 40+$H28), ""[A-Z]+"")"),"AN")</f>
        <v>AN</v>
      </c>
      <c r="R28" s="89" t="n">
        <f aca="false">IFERROR(__xludf.dummyfunction("IFERROR(QUERY(INDIRECT(""'""&amp;$F28&amp;""'!C3:""&amp;Q28&amp;""""), ""SELECT ""&amp;I28&amp;"", ""&amp;J28&amp;"", ""&amp;K28&amp;"", ""&amp;L28&amp;"", ""&amp;M28&amp;"", ""&amp;N28&amp;"", ""&amp;O28&amp;"", ""&amp;P28&amp;"" WHERE '""&amp;B28&amp;""' CONTAINS D"", 0), """")"),19)</f>
        <v>19</v>
      </c>
      <c r="S28" s="89" t="n">
        <f aca="false">IFERROR(__xludf.dummyfunction("""COMPUTED_VALUE"""),15)</f>
        <v>15</v>
      </c>
      <c r="T28" s="89"/>
      <c r="U28" s="89"/>
      <c r="V28" s="89" t="n">
        <f aca="false">IFERROR(__xludf.dummyfunction("""COMPUTED_VALUE"""),8)</f>
        <v>8</v>
      </c>
      <c r="W28" s="89"/>
      <c r="X28" s="89" t="n">
        <f aca="false">IFERROR(__xludf.dummyfunction("""COMPUTED_VALUE"""),30)</f>
        <v>30</v>
      </c>
      <c r="Y28" s="89" t="n">
        <f aca="false">IFERROR(__xludf.dummyfunction("""COMPUTED_VALUE"""),72)</f>
        <v>72</v>
      </c>
    </row>
    <row r="29" customFormat="false" ht="17.9" hidden="false" customHeight="false" outlineLevel="0" collapsed="false">
      <c r="A29" s="85" t="n">
        <v>28</v>
      </c>
      <c r="B29" s="85" t="n">
        <v>465228</v>
      </c>
      <c r="C29" s="86" t="s">
        <v>118</v>
      </c>
      <c r="D29" s="87" t="s">
        <v>119</v>
      </c>
      <c r="E29" s="88" t="str">
        <f aca="false">D29</f>
        <v>P3121</v>
      </c>
      <c r="F29" s="88" t="str">
        <f aca="false">REPLACE(E29, 1, 3, "")</f>
        <v>21</v>
      </c>
      <c r="G29" s="89" t="n">
        <f aca="true">IFERROR(VLOOKUP(B29,INDIRECT("'"&amp;$F29&amp;"'!D3:D"),1,FALSE()), "Not found")</f>
        <v>465228</v>
      </c>
      <c r="H29" s="89" t="n">
        <f aca="true">INDIRECT("'"&amp;$F29&amp;"'!D1")</f>
        <v>5</v>
      </c>
      <c r="I29" s="89" t="str">
        <f aca="false">IFERROR(__xludf.dummyfunction("REGEXEXTRACT(ADDRESS(ROW(), 19+$H29), ""[A-Z]+"")"),"X")</f>
        <v>X</v>
      </c>
      <c r="J29" s="89" t="str">
        <f aca="false">IFERROR(__xludf.dummyfunction("REGEXEXTRACT(ADDRESS(ROW(), 25+$H29), ""[A-Z]+"")"),"AD")</f>
        <v>AD</v>
      </c>
      <c r="K29" s="89" t="str">
        <f aca="false">IFERROR(__xludf.dummyfunction("REGEXEXTRACT(ADDRESS(ROW(), 27+$H29), ""[A-Z]+"")"),"AF")</f>
        <v>AF</v>
      </c>
      <c r="L29" s="89" t="str">
        <f aca="false">IFERROR(__xludf.dummyfunction("REGEXEXTRACT(ADDRESS(ROW(), 28+$H29), ""[A-Z]+"")"),"AG")</f>
        <v>AG</v>
      </c>
      <c r="M29" s="89" t="str">
        <f aca="false">IFERROR(__xludf.dummyfunction("REGEXEXTRACT(ADDRESS(ROW(), 34+$H29), ""[A-Z]+"")"),"AM")</f>
        <v>AM</v>
      </c>
      <c r="N29" s="89" t="str">
        <f aca="false">IFERROR(__xludf.dummyfunction("REGEXEXTRACT(ADDRESS(ROW(), 37+$H29), ""[A-Z]+"")"),"AP")</f>
        <v>AP</v>
      </c>
      <c r="O29" s="89" t="str">
        <f aca="false">IFERROR(__xludf.dummyfunction("REGEXEXTRACT(ADDRESS(ROW(), 38+$H29), ""[A-Z]+"")"),"AQ")</f>
        <v>AQ</v>
      </c>
      <c r="P29" s="89" t="str">
        <f aca="false">IFERROR(__xludf.dummyfunction("REGEXEXTRACT(ADDRESS(ROW(), 39+$H29), ""[A-Z]+"")"),"AR")</f>
        <v>AR</v>
      </c>
      <c r="Q29" s="89" t="str">
        <f aca="false">IFERROR(__xludf.dummyfunction("REGEXEXTRACT(ADDRESS(ROW(), 40+$H29), ""[A-Z]+"")"),"AS")</f>
        <v>AS</v>
      </c>
      <c r="R29" s="89" t="n">
        <f aca="false">IFERROR(__xludf.dummyfunction("IFERROR(QUERY(INDIRECT(""'""&amp;$F29&amp;""'!C3:""&amp;Q29&amp;""""), ""SELECT ""&amp;I29&amp;"", ""&amp;J29&amp;"", ""&amp;K29&amp;"", ""&amp;L29&amp;"", ""&amp;M29&amp;"", ""&amp;N29&amp;"", ""&amp;O29&amp;"", ""&amp;P29&amp;"" WHERE '""&amp;B29&amp;""' CONTAINS D"", 0), """")"),12)</f>
        <v>12</v>
      </c>
      <c r="S29" s="89" t="n">
        <f aca="false">IFERROR(__xludf.dummyfunction("""COMPUTED_VALUE"""),12)</f>
        <v>12</v>
      </c>
      <c r="T29" s="89"/>
      <c r="U29" s="89"/>
      <c r="V29" s="89" t="n">
        <f aca="false">IFERROR(__xludf.dummyfunction("""COMPUTED_VALUE"""),6)</f>
        <v>6</v>
      </c>
      <c r="W29" s="89"/>
      <c r="X29" s="89" t="n">
        <f aca="false">IFERROR(__xludf.dummyfunction("""COMPUTED_VALUE"""),31)</f>
        <v>31</v>
      </c>
      <c r="Y29" s="89" t="n">
        <f aca="false">IFERROR(__xludf.dummyfunction("""COMPUTED_VALUE"""),61)</f>
        <v>61</v>
      </c>
    </row>
    <row r="30" customFormat="false" ht="17.9" hidden="false" customHeight="false" outlineLevel="0" collapsed="false">
      <c r="A30" s="85" t="n">
        <v>29</v>
      </c>
      <c r="B30" s="85" t="n">
        <v>465235</v>
      </c>
      <c r="C30" s="86" t="s">
        <v>120</v>
      </c>
      <c r="D30" s="87" t="s">
        <v>121</v>
      </c>
      <c r="E30" s="88" t="str">
        <f aca="false">D30</f>
        <v>P3120</v>
      </c>
      <c r="F30" s="88" t="str">
        <f aca="false">REPLACE(E30, 1, 3, "")</f>
        <v>20</v>
      </c>
      <c r="G30" s="89" t="n">
        <f aca="true">IFERROR(VLOOKUP(B30,INDIRECT("'"&amp;$F30&amp;"'!D3:D"),1,FALSE()), "Not found")</f>
        <v>465235</v>
      </c>
      <c r="H30" s="89" t="n">
        <f aca="true">INDIRECT("'"&amp;$F30&amp;"'!D1")</f>
        <v>5</v>
      </c>
      <c r="I30" s="89" t="str">
        <f aca="false">IFERROR(__xludf.dummyfunction("REGEXEXTRACT(ADDRESS(ROW(), 19+$H30), ""[A-Z]+"")"),"X")</f>
        <v>X</v>
      </c>
      <c r="J30" s="89" t="str">
        <f aca="false">IFERROR(__xludf.dummyfunction("REGEXEXTRACT(ADDRESS(ROW(), 25+$H30), ""[A-Z]+"")"),"AD")</f>
        <v>AD</v>
      </c>
      <c r="K30" s="89" t="str">
        <f aca="false">IFERROR(__xludf.dummyfunction("REGEXEXTRACT(ADDRESS(ROW(), 27+$H30), ""[A-Z]+"")"),"AF")</f>
        <v>AF</v>
      </c>
      <c r="L30" s="89" t="str">
        <f aca="false">IFERROR(__xludf.dummyfunction("REGEXEXTRACT(ADDRESS(ROW(), 28+$H30), ""[A-Z]+"")"),"AG")</f>
        <v>AG</v>
      </c>
      <c r="M30" s="89" t="str">
        <f aca="false">IFERROR(__xludf.dummyfunction("REGEXEXTRACT(ADDRESS(ROW(), 34+$H30), ""[A-Z]+"")"),"AM")</f>
        <v>AM</v>
      </c>
      <c r="N30" s="89" t="str">
        <f aca="false">IFERROR(__xludf.dummyfunction("REGEXEXTRACT(ADDRESS(ROW(), 37+$H30), ""[A-Z]+"")"),"AP")</f>
        <v>AP</v>
      </c>
      <c r="O30" s="89" t="str">
        <f aca="false">IFERROR(__xludf.dummyfunction("REGEXEXTRACT(ADDRESS(ROW(), 38+$H30), ""[A-Z]+"")"),"AQ")</f>
        <v>AQ</v>
      </c>
      <c r="P30" s="89" t="str">
        <f aca="false">IFERROR(__xludf.dummyfunction("REGEXEXTRACT(ADDRESS(ROW(), 39+$H30), ""[A-Z]+"")"),"AR")</f>
        <v>AR</v>
      </c>
      <c r="Q30" s="89" t="str">
        <f aca="false">IFERROR(__xludf.dummyfunction("REGEXEXTRACT(ADDRESS(ROW(), 40+$H30), ""[A-Z]+"")"),"AS")</f>
        <v>AS</v>
      </c>
      <c r="R30" s="89" t="n">
        <f aca="false">IFERROR(__xludf.dummyfunction("IFERROR(QUERY(INDIRECT(""'""&amp;$F30&amp;""'!C3:""&amp;Q30&amp;""""), ""SELECT ""&amp;I30&amp;"", ""&amp;J30&amp;"", ""&amp;K30&amp;"", ""&amp;L30&amp;"", ""&amp;M30&amp;"", ""&amp;N30&amp;"", ""&amp;O30&amp;"", ""&amp;P30&amp;"" WHERE '""&amp;B30&amp;""' CONTAINS D"", 0), """")"),20)</f>
        <v>20</v>
      </c>
      <c r="S30" s="89" t="n">
        <f aca="false">IFERROR(__xludf.dummyfunction("""COMPUTED_VALUE"""),20)</f>
        <v>20</v>
      </c>
      <c r="T30" s="89"/>
      <c r="U30" s="89"/>
      <c r="V30" s="89" t="n">
        <f aca="false">IFERROR(__xludf.dummyfunction("""COMPUTED_VALUE"""),6)</f>
        <v>6</v>
      </c>
      <c r="W30" s="89"/>
      <c r="X30" s="89" t="n">
        <f aca="false">IFERROR(__xludf.dummyfunction("""COMPUTED_VALUE"""),26)</f>
        <v>26</v>
      </c>
      <c r="Y30" s="89" t="n">
        <f aca="false">IFERROR(__xludf.dummyfunction("""COMPUTED_VALUE"""),72)</f>
        <v>72</v>
      </c>
    </row>
    <row r="31" customFormat="false" ht="17.9" hidden="false" customHeight="false" outlineLevel="0" collapsed="false">
      <c r="A31" s="85" t="n">
        <v>30</v>
      </c>
      <c r="B31" s="85" t="n">
        <v>465241</v>
      </c>
      <c r="C31" s="86" t="s">
        <v>122</v>
      </c>
      <c r="D31" s="87" t="s">
        <v>93</v>
      </c>
      <c r="E31" s="88" t="str">
        <f aca="false">D31</f>
        <v>P3114</v>
      </c>
      <c r="F31" s="88" t="str">
        <f aca="false">REPLACE(E31, 1, 3, "")</f>
        <v>14</v>
      </c>
      <c r="G31" s="89" t="str">
        <f aca="true">IFERROR(VLOOKUP(B31,INDIRECT("'"&amp;$F31&amp;"'!D3:D"),1,FALSE()), "Not found")</f>
        <v>Not found</v>
      </c>
      <c r="H31" s="89" t="n">
        <f aca="true">INDIRECT("'"&amp;$F31&amp;"'!D1")</f>
        <v>0</v>
      </c>
      <c r="I31" s="89" t="str">
        <f aca="false">IFERROR(__xludf.dummyfunction("REGEXEXTRACT(ADDRESS(ROW(), 19+$H31), ""[A-Z]+"")"),"S")</f>
        <v>S</v>
      </c>
      <c r="J31" s="89" t="str">
        <f aca="false">IFERROR(__xludf.dummyfunction("REGEXEXTRACT(ADDRESS(ROW(), 25+$H31), ""[A-Z]+"")"),"Y")</f>
        <v>Y</v>
      </c>
      <c r="K31" s="89" t="str">
        <f aca="false">IFERROR(__xludf.dummyfunction("REGEXEXTRACT(ADDRESS(ROW(), 27+$H31), ""[A-Z]+"")"),"AA")</f>
        <v>AA</v>
      </c>
      <c r="L31" s="89" t="str">
        <f aca="false">IFERROR(__xludf.dummyfunction("REGEXEXTRACT(ADDRESS(ROW(), 28+$H31), ""[A-Z]+"")"),"AB")</f>
        <v>AB</v>
      </c>
      <c r="M31" s="89" t="str">
        <f aca="false">IFERROR(__xludf.dummyfunction("REGEXEXTRACT(ADDRESS(ROW(), 34+$H31), ""[A-Z]+"")"),"AH")</f>
        <v>AH</v>
      </c>
      <c r="N31" s="89" t="str">
        <f aca="false">IFERROR(__xludf.dummyfunction("REGEXEXTRACT(ADDRESS(ROW(), 37+$H31), ""[A-Z]+"")"),"AK")</f>
        <v>AK</v>
      </c>
      <c r="O31" s="89" t="str">
        <f aca="false">IFERROR(__xludf.dummyfunction("REGEXEXTRACT(ADDRESS(ROW(), 38+$H31), ""[A-Z]+"")"),"AL")</f>
        <v>AL</v>
      </c>
      <c r="P31" s="89" t="str">
        <f aca="false">IFERROR(__xludf.dummyfunction("REGEXEXTRACT(ADDRESS(ROW(), 39+$H31), ""[A-Z]+"")"),"AM")</f>
        <v>AM</v>
      </c>
      <c r="Q31" s="89" t="str">
        <f aca="false">IFERROR(__xludf.dummyfunction("REGEXEXTRACT(ADDRESS(ROW(), 40+$H31), ""[A-Z]+"")"),"AN")</f>
        <v>AN</v>
      </c>
      <c r="R31" s="89" t="n">
        <f aca="false">IFERROR(__xludf.dummyfunction("IFERROR(QUERY(INDIRECT(""'""&amp;$F31&amp;""'!C3:""&amp;Q31&amp;""""), ""SELECT ""&amp;I31&amp;"", ""&amp;J31&amp;"", ""&amp;K31&amp;"", ""&amp;L31&amp;"", ""&amp;M31&amp;"", ""&amp;N31&amp;"", ""&amp;O31&amp;"", ""&amp;P31&amp;"" WHERE '""&amp;B31&amp;""' CONTAINS D"", 0), """")"),12)</f>
        <v>12</v>
      </c>
      <c r="S31" s="89"/>
      <c r="T31" s="89"/>
      <c r="U31" s="89"/>
      <c r="V31" s="89" t="n">
        <f aca="false">IFERROR(__xludf.dummyfunction("""COMPUTED_VALUE"""),0)</f>
        <v>0</v>
      </c>
      <c r="W31" s="89"/>
      <c r="X31" s="89"/>
      <c r="Y31" s="89" t="n">
        <f aca="false">IFERROR(__xludf.dummyfunction("""COMPUTED_VALUE"""),12)</f>
        <v>12</v>
      </c>
    </row>
    <row r="32" customFormat="false" ht="17.9" hidden="false" customHeight="false" outlineLevel="0" collapsed="false">
      <c r="A32" s="85" t="n">
        <v>31</v>
      </c>
      <c r="B32" s="85" t="n">
        <v>465244</v>
      </c>
      <c r="C32" s="86" t="s">
        <v>123</v>
      </c>
      <c r="D32" s="87" t="s">
        <v>117</v>
      </c>
      <c r="E32" s="88" t="str">
        <f aca="false">D32</f>
        <v>P3116</v>
      </c>
      <c r="F32" s="88" t="str">
        <f aca="false">REPLACE(E32, 1, 3, "")</f>
        <v>16</v>
      </c>
      <c r="G32" s="89" t="str">
        <f aca="true">IFERROR(VLOOKUP(B32,INDIRECT("'"&amp;$F32&amp;"'!D3:D"),1,FALSE()), "Not found")</f>
        <v>Not found</v>
      </c>
      <c r="H32" s="89" t="n">
        <f aca="true">INDIRECT("'"&amp;$F32&amp;"'!D1")</f>
        <v>0</v>
      </c>
      <c r="I32" s="89" t="str">
        <f aca="false">IFERROR(__xludf.dummyfunction("REGEXEXTRACT(ADDRESS(ROW(), 19+$H32), ""[A-Z]+"")"),"S")</f>
        <v>S</v>
      </c>
      <c r="J32" s="89" t="str">
        <f aca="false">IFERROR(__xludf.dummyfunction("REGEXEXTRACT(ADDRESS(ROW(), 25+$H32), ""[A-Z]+"")"),"Y")</f>
        <v>Y</v>
      </c>
      <c r="K32" s="89" t="str">
        <f aca="false">IFERROR(__xludf.dummyfunction("REGEXEXTRACT(ADDRESS(ROW(), 27+$H32), ""[A-Z]+"")"),"AA")</f>
        <v>AA</v>
      </c>
      <c r="L32" s="89" t="str">
        <f aca="false">IFERROR(__xludf.dummyfunction("REGEXEXTRACT(ADDRESS(ROW(), 28+$H32), ""[A-Z]+"")"),"AB")</f>
        <v>AB</v>
      </c>
      <c r="M32" s="89" t="str">
        <f aca="false">IFERROR(__xludf.dummyfunction("REGEXEXTRACT(ADDRESS(ROW(), 34+$H32), ""[A-Z]+"")"),"AH")</f>
        <v>AH</v>
      </c>
      <c r="N32" s="89" t="str">
        <f aca="false">IFERROR(__xludf.dummyfunction("REGEXEXTRACT(ADDRESS(ROW(), 37+$H32), ""[A-Z]+"")"),"AK")</f>
        <v>AK</v>
      </c>
      <c r="O32" s="89" t="str">
        <f aca="false">IFERROR(__xludf.dummyfunction("REGEXEXTRACT(ADDRESS(ROW(), 38+$H32), ""[A-Z]+"")"),"AL")</f>
        <v>AL</v>
      </c>
      <c r="P32" s="89" t="str">
        <f aca="false">IFERROR(__xludf.dummyfunction("REGEXEXTRACT(ADDRESS(ROW(), 39+$H32), ""[A-Z]+"")"),"AM")</f>
        <v>AM</v>
      </c>
      <c r="Q32" s="89" t="str">
        <f aca="false">IFERROR(__xludf.dummyfunction("REGEXEXTRACT(ADDRESS(ROW(), 40+$H32), ""[A-Z]+"")"),"AN")</f>
        <v>AN</v>
      </c>
      <c r="R32" s="89" t="n">
        <f aca="false">IFERROR(__xludf.dummyfunction("IFERROR(QUERY(INDIRECT(""'""&amp;$F32&amp;""'!C3:""&amp;Q32&amp;""""), ""SELECT ""&amp;I32&amp;"", ""&amp;J32&amp;"", ""&amp;K32&amp;"", ""&amp;L32&amp;"", ""&amp;M32&amp;"", ""&amp;N32&amp;"", ""&amp;O32&amp;"", ""&amp;P32&amp;"" WHERE '""&amp;B32&amp;""' CONTAINS D"", 0), """")"),20)</f>
        <v>20</v>
      </c>
      <c r="S32" s="89" t="n">
        <f aca="false">IFERROR(__xludf.dummyfunction("""COMPUTED_VALUE"""),20)</f>
        <v>20</v>
      </c>
      <c r="T32" s="89"/>
      <c r="U32" s="89"/>
      <c r="V32" s="89" t="n">
        <f aca="false">IFERROR(__xludf.dummyfunction("""COMPUTED_VALUE"""),10)</f>
        <v>10</v>
      </c>
      <c r="W32" s="89"/>
      <c r="X32" s="89" t="n">
        <f aca="false">IFERROR(__xludf.dummyfunction("""COMPUTED_VALUE"""),40)</f>
        <v>40</v>
      </c>
      <c r="Y32" s="89" t="n">
        <f aca="false">IFERROR(__xludf.dummyfunction("""COMPUTED_VALUE"""),90)</f>
        <v>90</v>
      </c>
    </row>
    <row r="33" customFormat="false" ht="17.9" hidden="false" customHeight="false" outlineLevel="0" collapsed="false">
      <c r="A33" s="85" t="n">
        <v>32</v>
      </c>
      <c r="B33" s="85" t="n">
        <v>465259</v>
      </c>
      <c r="C33" s="86" t="s">
        <v>124</v>
      </c>
      <c r="D33" s="87" t="s">
        <v>125</v>
      </c>
      <c r="E33" s="88" t="str">
        <f aca="false">D33</f>
        <v>P3115</v>
      </c>
      <c r="F33" s="88" t="str">
        <f aca="false">REPLACE(E33, 1, 3, "")</f>
        <v>15</v>
      </c>
      <c r="G33" s="89" t="n">
        <f aca="true">IFERROR(VLOOKUP(B33,INDIRECT("'"&amp;$F33&amp;"'!D3:D"),1,FALSE()), "Not found")</f>
        <v>465259</v>
      </c>
      <c r="H33" s="89" t="n">
        <f aca="true">INDIRECT("'"&amp;$F33&amp;"'!D1")</f>
        <v>1</v>
      </c>
      <c r="I33" s="89" t="str">
        <f aca="false">IFERROR(__xludf.dummyfunction("REGEXEXTRACT(ADDRESS(ROW(), 19+$H33), ""[A-Z]+"")"),"T")</f>
        <v>T</v>
      </c>
      <c r="J33" s="89" t="str">
        <f aca="false">IFERROR(__xludf.dummyfunction("REGEXEXTRACT(ADDRESS(ROW(), 25+$H33), ""[A-Z]+"")"),"Z")</f>
        <v>Z</v>
      </c>
      <c r="K33" s="89" t="str">
        <f aca="false">IFERROR(__xludf.dummyfunction("REGEXEXTRACT(ADDRESS(ROW(), 27+$H33), ""[A-Z]+"")"),"AB")</f>
        <v>AB</v>
      </c>
      <c r="L33" s="89" t="str">
        <f aca="false">IFERROR(__xludf.dummyfunction("REGEXEXTRACT(ADDRESS(ROW(), 28+$H33), ""[A-Z]+"")"),"AC")</f>
        <v>AC</v>
      </c>
      <c r="M33" s="89" t="str">
        <f aca="false">IFERROR(__xludf.dummyfunction("REGEXEXTRACT(ADDRESS(ROW(), 34+$H33), ""[A-Z]+"")"),"AI")</f>
        <v>AI</v>
      </c>
      <c r="N33" s="89" t="str">
        <f aca="false">IFERROR(__xludf.dummyfunction("REGEXEXTRACT(ADDRESS(ROW(), 37+$H33), ""[A-Z]+"")"),"AL")</f>
        <v>AL</v>
      </c>
      <c r="O33" s="89" t="str">
        <f aca="false">IFERROR(__xludf.dummyfunction("REGEXEXTRACT(ADDRESS(ROW(), 38+$H33), ""[A-Z]+"")"),"AM")</f>
        <v>AM</v>
      </c>
      <c r="P33" s="89" t="str">
        <f aca="false">IFERROR(__xludf.dummyfunction("REGEXEXTRACT(ADDRESS(ROW(), 39+$H33), ""[A-Z]+"")"),"AN")</f>
        <v>AN</v>
      </c>
      <c r="Q33" s="89" t="str">
        <f aca="false">IFERROR(__xludf.dummyfunction("REGEXEXTRACT(ADDRESS(ROW(), 40+$H33), ""[A-Z]+"")"),"AO")</f>
        <v>AO</v>
      </c>
      <c r="R33" s="89" t="n">
        <f aca="false">IFERROR(__xludf.dummyfunction("IFERROR(QUERY(INDIRECT(""'""&amp;$F33&amp;""'!C3:""&amp;Q33&amp;""""), ""SELECT ""&amp;I33&amp;"", ""&amp;J33&amp;"", ""&amp;K33&amp;"", ""&amp;L33&amp;"", ""&amp;M33&amp;"", ""&amp;N33&amp;"", ""&amp;O33&amp;"", ""&amp;P33&amp;"" WHERE '""&amp;B33&amp;""' CONTAINS D"", 0), """")"),19)</f>
        <v>19</v>
      </c>
      <c r="S33" s="89" t="n">
        <f aca="false">IFERROR(__xludf.dummyfunction("""COMPUTED_VALUE"""),19)</f>
        <v>19</v>
      </c>
      <c r="T33" s="89"/>
      <c r="U33" s="89"/>
      <c r="V33" s="89" t="n">
        <f aca="false">IFERROR(__xludf.dummyfunction("""COMPUTED_VALUE"""),10)</f>
        <v>10</v>
      </c>
      <c r="W33" s="89"/>
      <c r="X33" s="89" t="n">
        <f aca="false">IFERROR(__xludf.dummyfunction("""COMPUTED_VALUE"""),40)</f>
        <v>40</v>
      </c>
      <c r="Y33" s="89" t="n">
        <f aca="false">IFERROR(__xludf.dummyfunction("""COMPUTED_VALUE"""),88)</f>
        <v>88</v>
      </c>
    </row>
    <row r="34" customFormat="false" ht="17.9" hidden="false" customHeight="false" outlineLevel="0" collapsed="false">
      <c r="A34" s="85" t="n">
        <v>33</v>
      </c>
      <c r="B34" s="85" t="n">
        <v>474254</v>
      </c>
      <c r="C34" s="86" t="s">
        <v>126</v>
      </c>
      <c r="D34" s="87" t="s">
        <v>127</v>
      </c>
      <c r="E34" s="88" t="str">
        <f aca="false">D34</f>
        <v>P3131</v>
      </c>
      <c r="F34" s="88" t="str">
        <f aca="false">REPLACE(E34, 1, 3, "")</f>
        <v>31</v>
      </c>
      <c r="G34" s="89" t="n">
        <f aca="true">IFERROR(VLOOKUP(B34,INDIRECT("'"&amp;$F34&amp;"'!D3:D"),1,FALSE()), "Not found")</f>
        <v>474254</v>
      </c>
      <c r="H34" s="89" t="n">
        <f aca="true">INDIRECT("'"&amp;$F34&amp;"'!D1")</f>
        <v>0</v>
      </c>
      <c r="I34" s="89" t="str">
        <f aca="false">IFERROR(__xludf.dummyfunction("REGEXEXTRACT(ADDRESS(ROW(), 19+$H34), ""[A-Z]+"")"),"S")</f>
        <v>S</v>
      </c>
      <c r="J34" s="89" t="str">
        <f aca="false">IFERROR(__xludf.dummyfunction("REGEXEXTRACT(ADDRESS(ROW(), 25+$H34), ""[A-Z]+"")"),"Y")</f>
        <v>Y</v>
      </c>
      <c r="K34" s="89" t="str">
        <f aca="false">IFERROR(__xludf.dummyfunction("REGEXEXTRACT(ADDRESS(ROW(), 27+$H34), ""[A-Z]+"")"),"AA")</f>
        <v>AA</v>
      </c>
      <c r="L34" s="89" t="str">
        <f aca="false">IFERROR(__xludf.dummyfunction("REGEXEXTRACT(ADDRESS(ROW(), 28+$H34), ""[A-Z]+"")"),"AB")</f>
        <v>AB</v>
      </c>
      <c r="M34" s="89" t="str">
        <f aca="false">IFERROR(__xludf.dummyfunction("REGEXEXTRACT(ADDRESS(ROW(), 34+$H34), ""[A-Z]+"")"),"AH")</f>
        <v>AH</v>
      </c>
      <c r="N34" s="89" t="str">
        <f aca="false">IFERROR(__xludf.dummyfunction("REGEXEXTRACT(ADDRESS(ROW(), 37+$H34), ""[A-Z]+"")"),"AK")</f>
        <v>AK</v>
      </c>
      <c r="O34" s="89" t="str">
        <f aca="false">IFERROR(__xludf.dummyfunction("REGEXEXTRACT(ADDRESS(ROW(), 38+$H34), ""[A-Z]+"")"),"AL")</f>
        <v>AL</v>
      </c>
      <c r="P34" s="89" t="str">
        <f aca="false">IFERROR(__xludf.dummyfunction("REGEXEXTRACT(ADDRESS(ROW(), 39+$H34), ""[A-Z]+"")"),"AM")</f>
        <v>AM</v>
      </c>
      <c r="Q34" s="89" t="str">
        <f aca="false">IFERROR(__xludf.dummyfunction("REGEXEXTRACT(ADDRESS(ROW(), 40+$H34), ""[A-Z]+"")"),"AN")</f>
        <v>AN</v>
      </c>
      <c r="R34" s="89" t="str">
        <f aca="false">IFERROR(__xludf.dummyfunction("IFERROR(QUERY(INDIRECT(""'""&amp;$F34&amp;""'!C3:""&amp;Q34&amp;""""), ""SELECT ""&amp;I34&amp;"", ""&amp;J34&amp;"", ""&amp;K34&amp;"", ""&amp;L34&amp;"", ""&amp;M34&amp;"", ""&amp;N34&amp;"", ""&amp;O34&amp;"", ""&amp;P34&amp;"" WHERE '""&amp;B34&amp;""' CONTAINS D"", 0), """")"),"")</f>
        <v/>
      </c>
      <c r="S34" s="89"/>
      <c r="T34" s="89"/>
      <c r="U34" s="89"/>
      <c r="V34" s="89" t="n">
        <f aca="false">IFERROR(__xludf.dummyfunction("""COMPUTED_VALUE"""),0)</f>
        <v>0</v>
      </c>
      <c r="W34" s="89"/>
      <c r="X34" s="89" t="n">
        <f aca="false">IFERROR(__xludf.dummyfunction("""COMPUTED_VALUE"""),0)</f>
        <v>0</v>
      </c>
      <c r="Y34" s="89" t="n">
        <f aca="false">IFERROR(__xludf.dummyfunction("""COMPUTED_VALUE"""),0)</f>
        <v>0</v>
      </c>
    </row>
    <row r="35" customFormat="false" ht="17.9" hidden="false" customHeight="false" outlineLevel="0" collapsed="false">
      <c r="A35" s="85" t="n">
        <v>34</v>
      </c>
      <c r="B35" s="85" t="n">
        <v>465280</v>
      </c>
      <c r="C35" s="86" t="s">
        <v>128</v>
      </c>
      <c r="D35" s="87" t="s">
        <v>117</v>
      </c>
      <c r="E35" s="88" t="str">
        <f aca="false">D35</f>
        <v>P3116</v>
      </c>
      <c r="F35" s="88" t="str">
        <f aca="false">REPLACE(E35, 1, 3, "")</f>
        <v>16</v>
      </c>
      <c r="G35" s="89" t="str">
        <f aca="true">IFERROR(VLOOKUP(B35,INDIRECT("'"&amp;$F35&amp;"'!D3:D"),1,FALSE()), "Not found")</f>
        <v>Not found</v>
      </c>
      <c r="H35" s="89" t="n">
        <f aca="true">INDIRECT("'"&amp;$F35&amp;"'!D1")</f>
        <v>0</v>
      </c>
      <c r="I35" s="89" t="str">
        <f aca="false">IFERROR(__xludf.dummyfunction("REGEXEXTRACT(ADDRESS(ROW(), 19+$H35), ""[A-Z]+"")"),"S")</f>
        <v>S</v>
      </c>
      <c r="J35" s="89" t="str">
        <f aca="false">IFERROR(__xludf.dummyfunction("REGEXEXTRACT(ADDRESS(ROW(), 25+$H35), ""[A-Z]+"")"),"Y")</f>
        <v>Y</v>
      </c>
      <c r="K35" s="89" t="str">
        <f aca="false">IFERROR(__xludf.dummyfunction("REGEXEXTRACT(ADDRESS(ROW(), 27+$H35), ""[A-Z]+"")"),"AA")</f>
        <v>AA</v>
      </c>
      <c r="L35" s="89" t="str">
        <f aca="false">IFERROR(__xludf.dummyfunction("REGEXEXTRACT(ADDRESS(ROW(), 28+$H35), ""[A-Z]+"")"),"AB")</f>
        <v>AB</v>
      </c>
      <c r="M35" s="89" t="str">
        <f aca="false">IFERROR(__xludf.dummyfunction("REGEXEXTRACT(ADDRESS(ROW(), 34+$H35), ""[A-Z]+"")"),"AH")</f>
        <v>AH</v>
      </c>
      <c r="N35" s="89" t="str">
        <f aca="false">IFERROR(__xludf.dummyfunction("REGEXEXTRACT(ADDRESS(ROW(), 37+$H35), ""[A-Z]+"")"),"AK")</f>
        <v>AK</v>
      </c>
      <c r="O35" s="89" t="str">
        <f aca="false">IFERROR(__xludf.dummyfunction("REGEXEXTRACT(ADDRESS(ROW(), 38+$H35), ""[A-Z]+"")"),"AL")</f>
        <v>AL</v>
      </c>
      <c r="P35" s="89" t="str">
        <f aca="false">IFERROR(__xludf.dummyfunction("REGEXEXTRACT(ADDRESS(ROW(), 39+$H35), ""[A-Z]+"")"),"AM")</f>
        <v>AM</v>
      </c>
      <c r="Q35" s="89" t="str">
        <f aca="false">IFERROR(__xludf.dummyfunction("REGEXEXTRACT(ADDRESS(ROW(), 40+$H35), ""[A-Z]+"")"),"AN")</f>
        <v>AN</v>
      </c>
      <c r="R35" s="89" t="n">
        <f aca="false">IFERROR(__xludf.dummyfunction("IFERROR(QUERY(INDIRECT(""'""&amp;$F35&amp;""'!C3:""&amp;Q35&amp;""""), ""SELECT ""&amp;I35&amp;"", ""&amp;J35&amp;"", ""&amp;K35&amp;"", ""&amp;L35&amp;"", ""&amp;M35&amp;"", ""&amp;N35&amp;"", ""&amp;O35&amp;"", ""&amp;P35&amp;"" WHERE '""&amp;B35&amp;""' CONTAINS D"", 0), """")"),20)</f>
        <v>20</v>
      </c>
      <c r="S35" s="89" t="n">
        <f aca="false">IFERROR(__xludf.dummyfunction("""COMPUTED_VALUE"""),20)</f>
        <v>20</v>
      </c>
      <c r="T35" s="89"/>
      <c r="U35" s="89"/>
      <c r="V35" s="89" t="n">
        <f aca="false">IFERROR(__xludf.dummyfunction("""COMPUTED_VALUE"""),10)</f>
        <v>10</v>
      </c>
      <c r="W35" s="89"/>
      <c r="X35" s="89" t="n">
        <f aca="false">IFERROR(__xludf.dummyfunction("""COMPUTED_VALUE"""),40)</f>
        <v>40</v>
      </c>
      <c r="Y35" s="89" t="n">
        <f aca="false">IFERROR(__xludf.dummyfunction("""COMPUTED_VALUE"""),90)</f>
        <v>90</v>
      </c>
    </row>
    <row r="36" customFormat="false" ht="17.9" hidden="false" customHeight="false" outlineLevel="0" collapsed="false">
      <c r="A36" s="85" t="n">
        <v>35</v>
      </c>
      <c r="B36" s="85" t="n">
        <v>465294</v>
      </c>
      <c r="C36" s="86" t="s">
        <v>129</v>
      </c>
      <c r="D36" s="87" t="s">
        <v>130</v>
      </c>
      <c r="E36" s="88" t="str">
        <f aca="false">D36</f>
        <v>P3117</v>
      </c>
      <c r="F36" s="88" t="str">
        <f aca="false">REPLACE(E36, 1, 3, "")</f>
        <v>17</v>
      </c>
      <c r="G36" s="89" t="n">
        <f aca="true">IFERROR(VLOOKUP(B36,INDIRECT("'"&amp;$F36&amp;"'!D3:D"),1,FALSE()), "Not found")</f>
        <v>465294</v>
      </c>
      <c r="H36" s="89" t="n">
        <f aca="true">INDIRECT("'"&amp;$F36&amp;"'!D1")</f>
        <v>1</v>
      </c>
      <c r="I36" s="89" t="str">
        <f aca="false">IFERROR(__xludf.dummyfunction("REGEXEXTRACT(ADDRESS(ROW(), 19+$H36), ""[A-Z]+"")"),"T")</f>
        <v>T</v>
      </c>
      <c r="J36" s="89" t="str">
        <f aca="false">IFERROR(__xludf.dummyfunction("REGEXEXTRACT(ADDRESS(ROW(), 25+$H36), ""[A-Z]+"")"),"Z")</f>
        <v>Z</v>
      </c>
      <c r="K36" s="89" t="str">
        <f aca="false">IFERROR(__xludf.dummyfunction("REGEXEXTRACT(ADDRESS(ROW(), 27+$H36), ""[A-Z]+"")"),"AB")</f>
        <v>AB</v>
      </c>
      <c r="L36" s="89" t="str">
        <f aca="false">IFERROR(__xludf.dummyfunction("REGEXEXTRACT(ADDRESS(ROW(), 28+$H36), ""[A-Z]+"")"),"AC")</f>
        <v>AC</v>
      </c>
      <c r="M36" s="89" t="str">
        <f aca="false">IFERROR(__xludf.dummyfunction("REGEXEXTRACT(ADDRESS(ROW(), 34+$H36), ""[A-Z]+"")"),"AI")</f>
        <v>AI</v>
      </c>
      <c r="N36" s="89" t="str">
        <f aca="false">IFERROR(__xludf.dummyfunction("REGEXEXTRACT(ADDRESS(ROW(), 37+$H36), ""[A-Z]+"")"),"AL")</f>
        <v>AL</v>
      </c>
      <c r="O36" s="89" t="str">
        <f aca="false">IFERROR(__xludf.dummyfunction("REGEXEXTRACT(ADDRESS(ROW(), 38+$H36), ""[A-Z]+"")"),"AM")</f>
        <v>AM</v>
      </c>
      <c r="P36" s="89" t="str">
        <f aca="false">IFERROR(__xludf.dummyfunction("REGEXEXTRACT(ADDRESS(ROW(), 39+$H36), ""[A-Z]+"")"),"AN")</f>
        <v>AN</v>
      </c>
      <c r="Q36" s="89" t="str">
        <f aca="false">IFERROR(__xludf.dummyfunction("REGEXEXTRACT(ADDRESS(ROW(), 40+$H36), ""[A-Z]+"")"),"AO")</f>
        <v>AO</v>
      </c>
      <c r="R36" s="89" t="n">
        <f aca="false">IFERROR(__xludf.dummyfunction("IFERROR(QUERY(INDIRECT(""'""&amp;$F36&amp;""'!C3:""&amp;Q36&amp;""""), ""SELECT ""&amp;I36&amp;"", ""&amp;J36&amp;"", ""&amp;K36&amp;"", ""&amp;L36&amp;"", ""&amp;M36&amp;"", ""&amp;N36&amp;"", ""&amp;O36&amp;"", ""&amp;P36&amp;"" WHERE '""&amp;B36&amp;""' CONTAINS D"", 0), """")"),18)</f>
        <v>18</v>
      </c>
      <c r="S36" s="89" t="n">
        <f aca="false">IFERROR(__xludf.dummyfunction("""COMPUTED_VALUE"""),19)</f>
        <v>19</v>
      </c>
      <c r="T36" s="89"/>
      <c r="U36" s="89"/>
      <c r="V36" s="89" t="n">
        <f aca="false">IFERROR(__xludf.dummyfunction("""COMPUTED_VALUE"""),6)</f>
        <v>6</v>
      </c>
      <c r="W36" s="89"/>
      <c r="X36" s="89" t="n">
        <f aca="false">IFERROR(__xludf.dummyfunction("""COMPUTED_VALUE"""),30)</f>
        <v>30</v>
      </c>
      <c r="Y36" s="89" t="n">
        <f aca="false">IFERROR(__xludf.dummyfunction("""COMPUTED_VALUE"""),73)</f>
        <v>73</v>
      </c>
    </row>
    <row r="37" customFormat="false" ht="17.9" hidden="false" customHeight="false" outlineLevel="0" collapsed="false">
      <c r="A37" s="85" t="n">
        <v>36</v>
      </c>
      <c r="B37" s="85" t="n">
        <v>465303</v>
      </c>
      <c r="C37" s="86" t="s">
        <v>131</v>
      </c>
      <c r="D37" s="87" t="s">
        <v>102</v>
      </c>
      <c r="E37" s="88" t="str">
        <f aca="false">D37</f>
        <v>P3110</v>
      </c>
      <c r="F37" s="88" t="str">
        <f aca="false">REPLACE(E37, 1, 3, "")</f>
        <v>10</v>
      </c>
      <c r="G37" s="89" t="str">
        <f aca="true">IFERROR(VLOOKUP(B37,INDIRECT("'"&amp;$F37&amp;"'!D3:D"),1,FALSE()), "Not found")</f>
        <v>Not found</v>
      </c>
      <c r="H37" s="89" t="n">
        <f aca="true">INDIRECT("'"&amp;$F37&amp;"'!D1")</f>
        <v>0</v>
      </c>
      <c r="I37" s="89" t="str">
        <f aca="false">IFERROR(__xludf.dummyfunction("REGEXEXTRACT(ADDRESS(ROW(), 19+$H37), ""[A-Z]+"")"),"S")</f>
        <v>S</v>
      </c>
      <c r="J37" s="89" t="str">
        <f aca="false">IFERROR(__xludf.dummyfunction("REGEXEXTRACT(ADDRESS(ROW(), 25+$H37), ""[A-Z]+"")"),"Y")</f>
        <v>Y</v>
      </c>
      <c r="K37" s="89" t="str">
        <f aca="false">IFERROR(__xludf.dummyfunction("REGEXEXTRACT(ADDRESS(ROW(), 27+$H37), ""[A-Z]+"")"),"AA")</f>
        <v>AA</v>
      </c>
      <c r="L37" s="89" t="str">
        <f aca="false">IFERROR(__xludf.dummyfunction("REGEXEXTRACT(ADDRESS(ROW(), 28+$H37), ""[A-Z]+"")"),"AB")</f>
        <v>AB</v>
      </c>
      <c r="M37" s="89" t="str">
        <f aca="false">IFERROR(__xludf.dummyfunction("REGEXEXTRACT(ADDRESS(ROW(), 34+$H37), ""[A-Z]+"")"),"AH")</f>
        <v>AH</v>
      </c>
      <c r="N37" s="89" t="str">
        <f aca="false">IFERROR(__xludf.dummyfunction("REGEXEXTRACT(ADDRESS(ROW(), 37+$H37), ""[A-Z]+"")"),"AK")</f>
        <v>AK</v>
      </c>
      <c r="O37" s="89" t="str">
        <f aca="false">IFERROR(__xludf.dummyfunction("REGEXEXTRACT(ADDRESS(ROW(), 38+$H37), ""[A-Z]+"")"),"AL")</f>
        <v>AL</v>
      </c>
      <c r="P37" s="89" t="str">
        <f aca="false">IFERROR(__xludf.dummyfunction("REGEXEXTRACT(ADDRESS(ROW(), 39+$H37), ""[A-Z]+"")"),"AM")</f>
        <v>AM</v>
      </c>
      <c r="Q37" s="89" t="str">
        <f aca="false">IFERROR(__xludf.dummyfunction("REGEXEXTRACT(ADDRESS(ROW(), 40+$H37), ""[A-Z]+"")"),"AN")</f>
        <v>AN</v>
      </c>
      <c r="R37" s="89" t="n">
        <f aca="false">IFERROR(__xludf.dummyfunction("IFERROR(QUERY(INDIRECT(""'""&amp;$F37&amp;""'!C3:""&amp;Q37&amp;""""), ""SELECT ""&amp;I37&amp;"", ""&amp;J37&amp;"", ""&amp;K37&amp;"", ""&amp;L37&amp;"", ""&amp;M37&amp;"", ""&amp;N37&amp;"", ""&amp;O37&amp;"", ""&amp;P37&amp;"" WHERE '""&amp;B37&amp;""' CONTAINS D"", 0), """")"),16)</f>
        <v>16</v>
      </c>
      <c r="S37" s="89" t="n">
        <f aca="false">IFERROR(__xludf.dummyfunction("""COMPUTED_VALUE"""),15)</f>
        <v>15</v>
      </c>
      <c r="T37" s="89"/>
      <c r="U37" s="89"/>
      <c r="V37" s="89" t="n">
        <f aca="false">IFERROR(__xludf.dummyfunction("""COMPUTED_VALUE"""),6)</f>
        <v>6</v>
      </c>
      <c r="W37" s="89"/>
      <c r="X37" s="89" t="n">
        <f aca="false">IFERROR(__xludf.dummyfunction("""COMPUTED_VALUE"""),28)</f>
        <v>28</v>
      </c>
      <c r="Y37" s="89" t="n">
        <f aca="false">IFERROR(__xludf.dummyfunction("""COMPUTED_VALUE"""),65)</f>
        <v>65</v>
      </c>
    </row>
    <row r="38" customFormat="false" ht="17.9" hidden="false" customHeight="false" outlineLevel="0" collapsed="false">
      <c r="A38" s="85" t="n">
        <v>37</v>
      </c>
      <c r="B38" s="85" t="n">
        <v>471783</v>
      </c>
      <c r="C38" s="86" t="s">
        <v>132</v>
      </c>
      <c r="D38" s="87" t="s">
        <v>127</v>
      </c>
      <c r="E38" s="88" t="str">
        <f aca="false">D38</f>
        <v>P3131</v>
      </c>
      <c r="F38" s="88" t="str">
        <f aca="false">REPLACE(E38, 1, 3, "")</f>
        <v>31</v>
      </c>
      <c r="G38" s="89" t="str">
        <f aca="true">IFERROR(VLOOKUP(B38,INDIRECT("'"&amp;$F38&amp;"'!D3:D"),1,FALSE()), "Not found")</f>
        <v>Not found</v>
      </c>
      <c r="H38" s="89" t="n">
        <f aca="true">INDIRECT("'"&amp;$F38&amp;"'!D1")</f>
        <v>0</v>
      </c>
      <c r="I38" s="89" t="str">
        <f aca="false">IFERROR(__xludf.dummyfunction("REGEXEXTRACT(ADDRESS(ROW(), 19+$H38), ""[A-Z]+"")"),"S")</f>
        <v>S</v>
      </c>
      <c r="J38" s="89" t="str">
        <f aca="false">IFERROR(__xludf.dummyfunction("REGEXEXTRACT(ADDRESS(ROW(), 25+$H38), ""[A-Z]+"")"),"Y")</f>
        <v>Y</v>
      </c>
      <c r="K38" s="89" t="str">
        <f aca="false">IFERROR(__xludf.dummyfunction("REGEXEXTRACT(ADDRESS(ROW(), 27+$H38), ""[A-Z]+"")"),"AA")</f>
        <v>AA</v>
      </c>
      <c r="L38" s="89" t="str">
        <f aca="false">IFERROR(__xludf.dummyfunction("REGEXEXTRACT(ADDRESS(ROW(), 28+$H38), ""[A-Z]+"")"),"AB")</f>
        <v>AB</v>
      </c>
      <c r="M38" s="89" t="str">
        <f aca="false">IFERROR(__xludf.dummyfunction("REGEXEXTRACT(ADDRESS(ROW(), 34+$H38), ""[A-Z]+"")"),"AH")</f>
        <v>AH</v>
      </c>
      <c r="N38" s="89" t="str">
        <f aca="false">IFERROR(__xludf.dummyfunction("REGEXEXTRACT(ADDRESS(ROW(), 37+$H38), ""[A-Z]+"")"),"AK")</f>
        <v>AK</v>
      </c>
      <c r="O38" s="89" t="str">
        <f aca="false">IFERROR(__xludf.dummyfunction("REGEXEXTRACT(ADDRESS(ROW(), 38+$H38), ""[A-Z]+"")"),"AL")</f>
        <v>AL</v>
      </c>
      <c r="P38" s="89" t="str">
        <f aca="false">IFERROR(__xludf.dummyfunction("REGEXEXTRACT(ADDRESS(ROW(), 39+$H38), ""[A-Z]+"")"),"AM")</f>
        <v>AM</v>
      </c>
      <c r="Q38" s="89" t="str">
        <f aca="false">IFERROR(__xludf.dummyfunction("REGEXEXTRACT(ADDRESS(ROW(), 40+$H38), ""[A-Z]+"")"),"AN")</f>
        <v>AN</v>
      </c>
      <c r="R38" s="89" t="n">
        <f aca="false">IFERROR(__xludf.dummyfunction("IFERROR(QUERY(INDIRECT(""'""&amp;$F38&amp;""'!C3:""&amp;Q38&amp;""""), ""SELECT ""&amp;I38&amp;"", ""&amp;J38&amp;"", ""&amp;K38&amp;"", ""&amp;L38&amp;"", ""&amp;M38&amp;"", ""&amp;N38&amp;"", ""&amp;O38&amp;"", ""&amp;P38&amp;"" WHERE '""&amp;B38&amp;""' CONTAINS D"", 0), """")"),12)</f>
        <v>12</v>
      </c>
      <c r="S38" s="89"/>
      <c r="T38" s="89"/>
      <c r="U38" s="89"/>
      <c r="V38" s="89" t="n">
        <f aca="false">IFERROR(__xludf.dummyfunction("""COMPUTED_VALUE"""),6)</f>
        <v>6</v>
      </c>
      <c r="W38" s="89"/>
      <c r="X38" s="89" t="n">
        <f aca="false">IFERROR(__xludf.dummyfunction("""COMPUTED_VALUE"""),0)</f>
        <v>0</v>
      </c>
      <c r="Y38" s="89" t="n">
        <f aca="false">IFERROR(__xludf.dummyfunction("""COMPUTED_VALUE"""),18)</f>
        <v>18</v>
      </c>
    </row>
    <row r="39" customFormat="false" ht="17.9" hidden="false" customHeight="false" outlineLevel="0" collapsed="false">
      <c r="A39" s="85" t="n">
        <v>38</v>
      </c>
      <c r="B39" s="85" t="n">
        <v>431831</v>
      </c>
      <c r="C39" s="86" t="s">
        <v>133</v>
      </c>
      <c r="D39" s="87" t="s">
        <v>85</v>
      </c>
      <c r="E39" s="88" t="str">
        <f aca="false">D39</f>
        <v>P3132</v>
      </c>
      <c r="F39" s="88" t="str">
        <f aca="false">REPLACE(E39, 1, 3, "")</f>
        <v>32</v>
      </c>
      <c r="G39" s="89" t="str">
        <f aca="true">IFERROR(VLOOKUP(B39,INDIRECT("'"&amp;$F39&amp;"'!D3:D"),1,FALSE()), "Not found")</f>
        <v>Not found</v>
      </c>
      <c r="H39" s="89" t="n">
        <f aca="true">INDIRECT("'"&amp;$F39&amp;"'!D1")</f>
        <v>0</v>
      </c>
      <c r="I39" s="89" t="str">
        <f aca="false">IFERROR(__xludf.dummyfunction("REGEXEXTRACT(ADDRESS(ROW(), 19+$H39), ""[A-Z]+"")"),"S")</f>
        <v>S</v>
      </c>
      <c r="J39" s="89" t="str">
        <f aca="false">IFERROR(__xludf.dummyfunction("REGEXEXTRACT(ADDRESS(ROW(), 25+$H39), ""[A-Z]+"")"),"Y")</f>
        <v>Y</v>
      </c>
      <c r="K39" s="89" t="str">
        <f aca="false">IFERROR(__xludf.dummyfunction("REGEXEXTRACT(ADDRESS(ROW(), 27+$H39), ""[A-Z]+"")"),"AA")</f>
        <v>AA</v>
      </c>
      <c r="L39" s="89" t="str">
        <f aca="false">IFERROR(__xludf.dummyfunction("REGEXEXTRACT(ADDRESS(ROW(), 28+$H39), ""[A-Z]+"")"),"AB")</f>
        <v>AB</v>
      </c>
      <c r="M39" s="89" t="str">
        <f aca="false">IFERROR(__xludf.dummyfunction("REGEXEXTRACT(ADDRESS(ROW(), 34+$H39), ""[A-Z]+"")"),"AH")</f>
        <v>AH</v>
      </c>
      <c r="N39" s="89" t="str">
        <f aca="false">IFERROR(__xludf.dummyfunction("REGEXEXTRACT(ADDRESS(ROW(), 37+$H39), ""[A-Z]+"")"),"AK")</f>
        <v>AK</v>
      </c>
      <c r="O39" s="89" t="str">
        <f aca="false">IFERROR(__xludf.dummyfunction("REGEXEXTRACT(ADDRESS(ROW(), 38+$H39), ""[A-Z]+"")"),"AL")</f>
        <v>AL</v>
      </c>
      <c r="P39" s="89" t="str">
        <f aca="false">IFERROR(__xludf.dummyfunction("REGEXEXTRACT(ADDRESS(ROW(), 39+$H39), ""[A-Z]+"")"),"AM")</f>
        <v>AM</v>
      </c>
      <c r="Q39" s="89" t="str">
        <f aca="false">IFERROR(__xludf.dummyfunction("REGEXEXTRACT(ADDRESS(ROW(), 40+$H39), ""[A-Z]+"")"),"AN")</f>
        <v>AN</v>
      </c>
      <c r="R39" s="89" t="n">
        <f aca="false">IFERROR(__xludf.dummyfunction("IFERROR(QUERY(INDIRECT(""'""&amp;$F39&amp;""'!C3:""&amp;Q39&amp;""""), ""SELECT ""&amp;I39&amp;"", ""&amp;J39&amp;"", ""&amp;K39&amp;"", ""&amp;L39&amp;"", ""&amp;M39&amp;"", ""&amp;N39&amp;"", ""&amp;O39&amp;"", ""&amp;P39&amp;"" WHERE '""&amp;B39&amp;""' CONTAINS D"", 0), """")"),19)</f>
        <v>19</v>
      </c>
      <c r="S39" s="89" t="n">
        <f aca="false">IFERROR(__xludf.dummyfunction("""COMPUTED_VALUE"""),18)</f>
        <v>18</v>
      </c>
      <c r="T39" s="89"/>
      <c r="U39" s="89"/>
      <c r="V39" s="89" t="n">
        <f aca="false">IFERROR(__xludf.dummyfunction("""COMPUTED_VALUE"""),6)</f>
        <v>6</v>
      </c>
      <c r="W39" s="89"/>
      <c r="X39" s="89" t="n">
        <f aca="false">IFERROR(__xludf.dummyfunction("""COMPUTED_VALUE"""),29)</f>
        <v>29</v>
      </c>
      <c r="Y39" s="89" t="n">
        <f aca="false">IFERROR(__xludf.dummyfunction("""COMPUTED_VALUE"""),72)</f>
        <v>72</v>
      </c>
    </row>
    <row r="40" customFormat="false" ht="17.9" hidden="false" customHeight="false" outlineLevel="0" collapsed="false">
      <c r="A40" s="85" t="n">
        <v>39</v>
      </c>
      <c r="B40" s="85" t="n">
        <v>365209</v>
      </c>
      <c r="C40" s="86" t="s">
        <v>134</v>
      </c>
      <c r="D40" s="87" t="s">
        <v>121</v>
      </c>
      <c r="E40" s="88" t="str">
        <f aca="false">D40</f>
        <v>P3120</v>
      </c>
      <c r="F40" s="88" t="str">
        <f aca="false">REPLACE(E40, 1, 3, "")</f>
        <v>20</v>
      </c>
      <c r="G40" s="89" t="str">
        <f aca="true">IFERROR(VLOOKUP(B40,INDIRECT("'"&amp;$F40&amp;"'!D3:D"),1,FALSE()), "Not found")</f>
        <v>Not found</v>
      </c>
      <c r="H40" s="89" t="n">
        <f aca="true">INDIRECT("'"&amp;$F40&amp;"'!D1")</f>
        <v>5</v>
      </c>
      <c r="I40" s="89" t="str">
        <f aca="false">IFERROR(__xludf.dummyfunction("REGEXEXTRACT(ADDRESS(ROW(), 19+$H40), ""[A-Z]+"")"),"X")</f>
        <v>X</v>
      </c>
      <c r="J40" s="89" t="str">
        <f aca="false">IFERROR(__xludf.dummyfunction("REGEXEXTRACT(ADDRESS(ROW(), 25+$H40), ""[A-Z]+"")"),"AD")</f>
        <v>AD</v>
      </c>
      <c r="K40" s="89" t="str">
        <f aca="false">IFERROR(__xludf.dummyfunction("REGEXEXTRACT(ADDRESS(ROW(), 27+$H40), ""[A-Z]+"")"),"AF")</f>
        <v>AF</v>
      </c>
      <c r="L40" s="89" t="str">
        <f aca="false">IFERROR(__xludf.dummyfunction("REGEXEXTRACT(ADDRESS(ROW(), 28+$H40), ""[A-Z]+"")"),"AG")</f>
        <v>AG</v>
      </c>
      <c r="M40" s="89" t="str">
        <f aca="false">IFERROR(__xludf.dummyfunction("REGEXEXTRACT(ADDRESS(ROW(), 34+$H40), ""[A-Z]+"")"),"AM")</f>
        <v>AM</v>
      </c>
      <c r="N40" s="89" t="str">
        <f aca="false">IFERROR(__xludf.dummyfunction("REGEXEXTRACT(ADDRESS(ROW(), 37+$H40), ""[A-Z]+"")"),"AP")</f>
        <v>AP</v>
      </c>
      <c r="O40" s="89" t="str">
        <f aca="false">IFERROR(__xludf.dummyfunction("REGEXEXTRACT(ADDRESS(ROW(), 38+$H40), ""[A-Z]+"")"),"AQ")</f>
        <v>AQ</v>
      </c>
      <c r="P40" s="89" t="str">
        <f aca="false">IFERROR(__xludf.dummyfunction("REGEXEXTRACT(ADDRESS(ROW(), 39+$H40), ""[A-Z]+"")"),"AR")</f>
        <v>AR</v>
      </c>
      <c r="Q40" s="89" t="str">
        <f aca="false">IFERROR(__xludf.dummyfunction("REGEXEXTRACT(ADDRESS(ROW(), 40+$H40), ""[A-Z]+"")"),"AS")</f>
        <v>AS</v>
      </c>
      <c r="R40" s="89" t="n">
        <f aca="false">IFERROR(__xludf.dummyfunction("IFERROR(QUERY(INDIRECT(""'""&amp;$F40&amp;""'!C3:""&amp;Q40&amp;""""), ""SELECT ""&amp;I40&amp;"", ""&amp;J40&amp;"", ""&amp;K40&amp;"", ""&amp;L40&amp;"", ""&amp;M40&amp;"", ""&amp;N40&amp;"", ""&amp;O40&amp;"", ""&amp;P40&amp;"" WHERE '""&amp;B40&amp;""' CONTAINS D"", 0), """")"),18)</f>
        <v>18</v>
      </c>
      <c r="S40" s="89" t="n">
        <f aca="false">IFERROR(__xludf.dummyfunction("""COMPUTED_VALUE"""),18)</f>
        <v>18</v>
      </c>
      <c r="T40" s="89"/>
      <c r="U40" s="89"/>
      <c r="V40" s="89" t="n">
        <f aca="false">IFERROR(__xludf.dummyfunction("""COMPUTED_VALUE"""),6)</f>
        <v>6</v>
      </c>
      <c r="W40" s="89"/>
      <c r="X40" s="89" t="n">
        <f aca="false">IFERROR(__xludf.dummyfunction("""COMPUTED_VALUE"""),24)</f>
        <v>24</v>
      </c>
      <c r="Y40" s="89" t="n">
        <f aca="false">IFERROR(__xludf.dummyfunction("""COMPUTED_VALUE"""),66)</f>
        <v>66</v>
      </c>
    </row>
    <row r="41" customFormat="false" ht="17.9" hidden="false" customHeight="false" outlineLevel="0" collapsed="false">
      <c r="A41" s="85" t="n">
        <v>40</v>
      </c>
      <c r="B41" s="85" t="n">
        <v>465346</v>
      </c>
      <c r="C41" s="86" t="s">
        <v>135</v>
      </c>
      <c r="D41" s="87" t="s">
        <v>127</v>
      </c>
      <c r="E41" s="88" t="str">
        <f aca="false">D41</f>
        <v>P3131</v>
      </c>
      <c r="F41" s="88" t="str">
        <f aca="false">REPLACE(E41, 1, 3, "")</f>
        <v>31</v>
      </c>
      <c r="G41" s="89" t="str">
        <f aca="true">IFERROR(VLOOKUP(B41,INDIRECT("'"&amp;$F41&amp;"'!D3:D"),1,FALSE()), "Not found")</f>
        <v>Not found</v>
      </c>
      <c r="H41" s="89" t="n">
        <f aca="true">INDIRECT("'"&amp;$F41&amp;"'!D1")</f>
        <v>0</v>
      </c>
      <c r="I41" s="89" t="str">
        <f aca="false">IFERROR(__xludf.dummyfunction("REGEXEXTRACT(ADDRESS(ROW(), 19+$H41), ""[A-Z]+"")"),"S")</f>
        <v>S</v>
      </c>
      <c r="J41" s="89" t="str">
        <f aca="false">IFERROR(__xludf.dummyfunction("REGEXEXTRACT(ADDRESS(ROW(), 25+$H41), ""[A-Z]+"")"),"Y")</f>
        <v>Y</v>
      </c>
      <c r="K41" s="89" t="str">
        <f aca="false">IFERROR(__xludf.dummyfunction("REGEXEXTRACT(ADDRESS(ROW(), 27+$H41), ""[A-Z]+"")"),"AA")</f>
        <v>AA</v>
      </c>
      <c r="L41" s="89" t="str">
        <f aca="false">IFERROR(__xludf.dummyfunction("REGEXEXTRACT(ADDRESS(ROW(), 28+$H41), ""[A-Z]+"")"),"AB")</f>
        <v>AB</v>
      </c>
      <c r="M41" s="89" t="str">
        <f aca="false">IFERROR(__xludf.dummyfunction("REGEXEXTRACT(ADDRESS(ROW(), 34+$H41), ""[A-Z]+"")"),"AH")</f>
        <v>AH</v>
      </c>
      <c r="N41" s="89" t="str">
        <f aca="false">IFERROR(__xludf.dummyfunction("REGEXEXTRACT(ADDRESS(ROW(), 37+$H41), ""[A-Z]+"")"),"AK")</f>
        <v>AK</v>
      </c>
      <c r="O41" s="89" t="str">
        <f aca="false">IFERROR(__xludf.dummyfunction("REGEXEXTRACT(ADDRESS(ROW(), 38+$H41), ""[A-Z]+"")"),"AL")</f>
        <v>AL</v>
      </c>
      <c r="P41" s="89" t="str">
        <f aca="false">IFERROR(__xludf.dummyfunction("REGEXEXTRACT(ADDRESS(ROW(), 39+$H41), ""[A-Z]+"")"),"AM")</f>
        <v>AM</v>
      </c>
      <c r="Q41" s="89" t="str">
        <f aca="false">IFERROR(__xludf.dummyfunction("REGEXEXTRACT(ADDRESS(ROW(), 40+$H41), ""[A-Z]+"")"),"AN")</f>
        <v>AN</v>
      </c>
      <c r="R41" s="89" t="n">
        <f aca="false">IFERROR(__xludf.dummyfunction("IFERROR(QUERY(INDIRECT(""'""&amp;$F41&amp;""'!C3:""&amp;Q41&amp;""""), ""SELECT ""&amp;I41&amp;"", ""&amp;J41&amp;"", ""&amp;K41&amp;"", ""&amp;L41&amp;"", ""&amp;M41&amp;"", ""&amp;N41&amp;"", ""&amp;O41&amp;"", ""&amp;P41&amp;"" WHERE '""&amp;B41&amp;""' CONTAINS D"", 0), """")"),15)</f>
        <v>15</v>
      </c>
      <c r="S41" s="89" t="n">
        <f aca="false">IFERROR(__xludf.dummyfunction("""COMPUTED_VALUE"""),16)</f>
        <v>16</v>
      </c>
      <c r="T41" s="89"/>
      <c r="U41" s="89"/>
      <c r="V41" s="89" t="n">
        <f aca="false">IFERROR(__xludf.dummyfunction("""COMPUTED_VALUE"""),6)</f>
        <v>6</v>
      </c>
      <c r="W41" s="89"/>
      <c r="X41" s="89" t="n">
        <f aca="false">IFERROR(__xludf.dummyfunction("""COMPUTED_VALUE"""),24)</f>
        <v>24</v>
      </c>
      <c r="Y41" s="89" t="n">
        <f aca="false">IFERROR(__xludf.dummyfunction("""COMPUTED_VALUE"""),61)</f>
        <v>61</v>
      </c>
    </row>
    <row r="42" customFormat="false" ht="17.9" hidden="false" customHeight="false" outlineLevel="0" collapsed="false">
      <c r="A42" s="85" t="n">
        <v>41</v>
      </c>
      <c r="B42" s="85" t="n">
        <v>465355</v>
      </c>
      <c r="C42" s="86" t="s">
        <v>136</v>
      </c>
      <c r="D42" s="87" t="s">
        <v>93</v>
      </c>
      <c r="E42" s="88" t="str">
        <f aca="false">D42</f>
        <v>P3114</v>
      </c>
      <c r="F42" s="88" t="str">
        <f aca="false">REPLACE(E42, 1, 3, "")</f>
        <v>14</v>
      </c>
      <c r="G42" s="89" t="str">
        <f aca="true">IFERROR(VLOOKUP(B42,INDIRECT("'"&amp;$F42&amp;"'!D3:D"),1,FALSE()), "Not found")</f>
        <v>Not found</v>
      </c>
      <c r="H42" s="89" t="n">
        <f aca="true">INDIRECT("'"&amp;$F42&amp;"'!D1")</f>
        <v>0</v>
      </c>
      <c r="I42" s="89" t="str">
        <f aca="false">IFERROR(__xludf.dummyfunction("REGEXEXTRACT(ADDRESS(ROW(), 19+$H42), ""[A-Z]+"")"),"S")</f>
        <v>S</v>
      </c>
      <c r="J42" s="89" t="str">
        <f aca="false">IFERROR(__xludf.dummyfunction("REGEXEXTRACT(ADDRESS(ROW(), 25+$H42), ""[A-Z]+"")"),"Y")</f>
        <v>Y</v>
      </c>
      <c r="K42" s="89" t="str">
        <f aca="false">IFERROR(__xludf.dummyfunction("REGEXEXTRACT(ADDRESS(ROW(), 27+$H42), ""[A-Z]+"")"),"AA")</f>
        <v>AA</v>
      </c>
      <c r="L42" s="89" t="str">
        <f aca="false">IFERROR(__xludf.dummyfunction("REGEXEXTRACT(ADDRESS(ROW(), 28+$H42), ""[A-Z]+"")"),"AB")</f>
        <v>AB</v>
      </c>
      <c r="M42" s="89" t="str">
        <f aca="false">IFERROR(__xludf.dummyfunction("REGEXEXTRACT(ADDRESS(ROW(), 34+$H42), ""[A-Z]+"")"),"AH")</f>
        <v>AH</v>
      </c>
      <c r="N42" s="89" t="str">
        <f aca="false">IFERROR(__xludf.dummyfunction("REGEXEXTRACT(ADDRESS(ROW(), 37+$H42), ""[A-Z]+"")"),"AK")</f>
        <v>AK</v>
      </c>
      <c r="O42" s="89" t="str">
        <f aca="false">IFERROR(__xludf.dummyfunction("REGEXEXTRACT(ADDRESS(ROW(), 38+$H42), ""[A-Z]+"")"),"AL")</f>
        <v>AL</v>
      </c>
      <c r="P42" s="89" t="str">
        <f aca="false">IFERROR(__xludf.dummyfunction("REGEXEXTRACT(ADDRESS(ROW(), 39+$H42), ""[A-Z]+"")"),"AM")</f>
        <v>AM</v>
      </c>
      <c r="Q42" s="89" t="str">
        <f aca="false">IFERROR(__xludf.dummyfunction("REGEXEXTRACT(ADDRESS(ROW(), 40+$H42), ""[A-Z]+"")"),"AN")</f>
        <v>AN</v>
      </c>
      <c r="R42" s="89" t="n">
        <f aca="false">IFERROR(__xludf.dummyfunction("IFERROR(QUERY(INDIRECT(""'""&amp;$F42&amp;""'!C3:""&amp;Q42&amp;""""), ""SELECT ""&amp;I42&amp;"", ""&amp;J42&amp;"", ""&amp;K42&amp;"", ""&amp;L42&amp;"", ""&amp;M42&amp;"", ""&amp;N42&amp;"", ""&amp;O42&amp;"", ""&amp;P42&amp;"" WHERE '""&amp;B42&amp;""' CONTAINS D"", 0), """")"),12)</f>
        <v>12</v>
      </c>
      <c r="S42" s="89" t="n">
        <f aca="false">IFERROR(__xludf.dummyfunction("""COMPUTED_VALUE"""),12)</f>
        <v>12</v>
      </c>
      <c r="T42" s="89"/>
      <c r="U42" s="89"/>
      <c r="V42" s="89" t="n">
        <f aca="false">IFERROR(__xludf.dummyfunction("""COMPUTED_VALUE"""),6)</f>
        <v>6</v>
      </c>
      <c r="W42" s="89"/>
      <c r="X42" s="89" t="n">
        <f aca="false">IFERROR(__xludf.dummyfunction("""COMPUTED_VALUE"""),30)</f>
        <v>30</v>
      </c>
      <c r="Y42" s="89" t="n">
        <f aca="false">IFERROR(__xludf.dummyfunction("""COMPUTED_VALUE"""),60)</f>
        <v>60</v>
      </c>
    </row>
    <row r="43" customFormat="false" ht="17.9" hidden="false" customHeight="false" outlineLevel="0" collapsed="false">
      <c r="A43" s="85" t="n">
        <v>42</v>
      </c>
      <c r="B43" s="85" t="n">
        <v>471800</v>
      </c>
      <c r="C43" s="86" t="s">
        <v>137</v>
      </c>
      <c r="D43" s="87" t="s">
        <v>83</v>
      </c>
      <c r="E43" s="88" t="str">
        <f aca="false">D43</f>
        <v>P3109</v>
      </c>
      <c r="F43" s="88" t="str">
        <f aca="false">REPLACE(E43, 1, 3, "")</f>
        <v>09</v>
      </c>
      <c r="G43" s="89" t="str">
        <f aca="true">IFERROR(VLOOKUP(B43,INDIRECT("'"&amp;$F43&amp;"'!D3:D"),1,FALSE()), "Not found")</f>
        <v>Not found</v>
      </c>
      <c r="H43" s="89" t="n">
        <f aca="true">INDIRECT("'"&amp;$F43&amp;"'!D1")</f>
        <v>0</v>
      </c>
      <c r="I43" s="89" t="str">
        <f aca="false">IFERROR(__xludf.dummyfunction("REGEXEXTRACT(ADDRESS(ROW(), 19+$H43), ""[A-Z]+"")"),"S")</f>
        <v>S</v>
      </c>
      <c r="J43" s="89" t="str">
        <f aca="false">IFERROR(__xludf.dummyfunction("REGEXEXTRACT(ADDRESS(ROW(), 25+$H43), ""[A-Z]+"")"),"Y")</f>
        <v>Y</v>
      </c>
      <c r="K43" s="89" t="str">
        <f aca="false">IFERROR(__xludf.dummyfunction("REGEXEXTRACT(ADDRESS(ROW(), 27+$H43), ""[A-Z]+"")"),"AA")</f>
        <v>AA</v>
      </c>
      <c r="L43" s="89" t="str">
        <f aca="false">IFERROR(__xludf.dummyfunction("REGEXEXTRACT(ADDRESS(ROW(), 28+$H43), ""[A-Z]+"")"),"AB")</f>
        <v>AB</v>
      </c>
      <c r="M43" s="89" t="str">
        <f aca="false">IFERROR(__xludf.dummyfunction("REGEXEXTRACT(ADDRESS(ROW(), 34+$H43), ""[A-Z]+"")"),"AH")</f>
        <v>AH</v>
      </c>
      <c r="N43" s="89" t="str">
        <f aca="false">IFERROR(__xludf.dummyfunction("REGEXEXTRACT(ADDRESS(ROW(), 37+$H43), ""[A-Z]+"")"),"AK")</f>
        <v>AK</v>
      </c>
      <c r="O43" s="89" t="str">
        <f aca="false">IFERROR(__xludf.dummyfunction("REGEXEXTRACT(ADDRESS(ROW(), 38+$H43), ""[A-Z]+"")"),"AL")</f>
        <v>AL</v>
      </c>
      <c r="P43" s="89" t="str">
        <f aca="false">IFERROR(__xludf.dummyfunction("REGEXEXTRACT(ADDRESS(ROW(), 39+$H43), ""[A-Z]+"")"),"AM")</f>
        <v>AM</v>
      </c>
      <c r="Q43" s="89" t="str">
        <f aca="false">IFERROR(__xludf.dummyfunction("REGEXEXTRACT(ADDRESS(ROW(), 40+$H43), ""[A-Z]+"")"),"AN")</f>
        <v>AN</v>
      </c>
      <c r="R43" s="89" t="n">
        <f aca="false">IFERROR(__xludf.dummyfunction("IFERROR(QUERY(INDIRECT(""'""&amp;$F43&amp;""'!C3:""&amp;Q43&amp;""""), ""SELECT ""&amp;I43&amp;"", ""&amp;J43&amp;"", ""&amp;K43&amp;"", ""&amp;L43&amp;"", ""&amp;M43&amp;"", ""&amp;N43&amp;"", ""&amp;O43&amp;"", ""&amp;P43&amp;"" WHERE '""&amp;B43&amp;""' CONTAINS D"", 0), """")"),12)</f>
        <v>12</v>
      </c>
      <c r="S43" s="89" t="n">
        <f aca="false">IFERROR(__xludf.dummyfunction("""COMPUTED_VALUE"""),14)</f>
        <v>14</v>
      </c>
      <c r="T43" s="89"/>
      <c r="U43" s="89"/>
      <c r="V43" s="89" t="n">
        <f aca="false">IFERROR(__xludf.dummyfunction("""COMPUTED_VALUE"""),6.03)</f>
        <v>6.03</v>
      </c>
      <c r="W43" s="89"/>
      <c r="X43" s="89" t="n">
        <f aca="false">IFERROR(__xludf.dummyfunction("""COMPUTED_VALUE"""),32)</f>
        <v>32</v>
      </c>
      <c r="Y43" s="89" t="n">
        <f aca="false">IFERROR(__xludf.dummyfunction("""COMPUTED_VALUE"""),64.03)</f>
        <v>64.03</v>
      </c>
    </row>
    <row r="44" customFormat="false" ht="17.9" hidden="false" customHeight="false" outlineLevel="0" collapsed="false">
      <c r="A44" s="85" t="n">
        <v>43</v>
      </c>
      <c r="B44" s="85" t="n">
        <v>465382</v>
      </c>
      <c r="C44" s="86" t="s">
        <v>138</v>
      </c>
      <c r="D44" s="87" t="s">
        <v>139</v>
      </c>
      <c r="E44" s="88" t="str">
        <f aca="false">D44</f>
        <v>P3118</v>
      </c>
      <c r="F44" s="88" t="str">
        <f aca="false">REPLACE(E44, 1, 3, "")</f>
        <v>18</v>
      </c>
      <c r="G44" s="89" t="n">
        <f aca="true">IFERROR(VLOOKUP(B44,INDIRECT("'"&amp;$F44&amp;"'!D3:D"),1,FALSE()), "Not found")</f>
        <v>465382</v>
      </c>
      <c r="H44" s="89" t="n">
        <f aca="true">INDIRECT("'"&amp;$F44&amp;"'!D1")</f>
        <v>0</v>
      </c>
      <c r="I44" s="89" t="str">
        <f aca="false">IFERROR(__xludf.dummyfunction("REGEXEXTRACT(ADDRESS(ROW(), 19+$H44), ""[A-Z]+"")"),"S")</f>
        <v>S</v>
      </c>
      <c r="J44" s="89" t="str">
        <f aca="false">IFERROR(__xludf.dummyfunction("REGEXEXTRACT(ADDRESS(ROW(), 25+$H44), ""[A-Z]+"")"),"Y")</f>
        <v>Y</v>
      </c>
      <c r="K44" s="89" t="str">
        <f aca="false">IFERROR(__xludf.dummyfunction("REGEXEXTRACT(ADDRESS(ROW(), 27+$H44), ""[A-Z]+"")"),"AA")</f>
        <v>AA</v>
      </c>
      <c r="L44" s="89" t="str">
        <f aca="false">IFERROR(__xludf.dummyfunction("REGEXEXTRACT(ADDRESS(ROW(), 28+$H44), ""[A-Z]+"")"),"AB")</f>
        <v>AB</v>
      </c>
      <c r="M44" s="89" t="str">
        <f aca="false">IFERROR(__xludf.dummyfunction("REGEXEXTRACT(ADDRESS(ROW(), 34+$H44), ""[A-Z]+"")"),"AH")</f>
        <v>AH</v>
      </c>
      <c r="N44" s="89" t="str">
        <f aca="false">IFERROR(__xludf.dummyfunction("REGEXEXTRACT(ADDRESS(ROW(), 37+$H44), ""[A-Z]+"")"),"AK")</f>
        <v>AK</v>
      </c>
      <c r="O44" s="89" t="str">
        <f aca="false">IFERROR(__xludf.dummyfunction("REGEXEXTRACT(ADDRESS(ROW(), 38+$H44), ""[A-Z]+"")"),"AL")</f>
        <v>AL</v>
      </c>
      <c r="P44" s="89" t="str">
        <f aca="false">IFERROR(__xludf.dummyfunction("REGEXEXTRACT(ADDRESS(ROW(), 39+$H44), ""[A-Z]+"")"),"AM")</f>
        <v>AM</v>
      </c>
      <c r="Q44" s="89" t="str">
        <f aca="false">IFERROR(__xludf.dummyfunction("REGEXEXTRACT(ADDRESS(ROW(), 40+$H44), ""[A-Z]+"")"),"AN")</f>
        <v>AN</v>
      </c>
      <c r="R44" s="89" t="n">
        <f aca="false">IFERROR(__xludf.dummyfunction("IFERROR(QUERY(INDIRECT(""'""&amp;$F44&amp;""'!C3:""&amp;Q44&amp;""""), ""SELECT ""&amp;I44&amp;"", ""&amp;J44&amp;"", ""&amp;K44&amp;"", ""&amp;L44&amp;"", ""&amp;M44&amp;"", ""&amp;N44&amp;"", ""&amp;O44&amp;"", ""&amp;P44&amp;"" WHERE '""&amp;B44&amp;""' CONTAINS D"", 0), """")"),19)</f>
        <v>19</v>
      </c>
      <c r="S44" s="89" t="n">
        <f aca="false">IFERROR(__xludf.dummyfunction("""COMPUTED_VALUE"""),19)</f>
        <v>19</v>
      </c>
      <c r="T44" s="89"/>
      <c r="U44" s="89"/>
      <c r="V44" s="89" t="n">
        <f aca="false">IFERROR(__xludf.dummyfunction("""COMPUTED_VALUE"""),10)</f>
        <v>10</v>
      </c>
      <c r="W44" s="89"/>
      <c r="X44" s="89" t="n">
        <f aca="false">IFERROR(__xludf.dummyfunction("""COMPUTED_VALUE"""),38)</f>
        <v>38</v>
      </c>
      <c r="Y44" s="89" t="n">
        <f aca="false">IFERROR(__xludf.dummyfunction("""COMPUTED_VALUE"""),86)</f>
        <v>86</v>
      </c>
    </row>
    <row r="45" customFormat="false" ht="17.9" hidden="false" customHeight="false" outlineLevel="0" collapsed="false">
      <c r="A45" s="85" t="n">
        <v>44</v>
      </c>
      <c r="B45" s="85" t="n">
        <v>372854</v>
      </c>
      <c r="C45" s="86" t="s">
        <v>140</v>
      </c>
      <c r="D45" s="87" t="s">
        <v>87</v>
      </c>
      <c r="E45" s="88" t="str">
        <f aca="false">D45</f>
        <v>P3130</v>
      </c>
      <c r="F45" s="88" t="str">
        <f aca="false">REPLACE(E45, 1, 3, "")</f>
        <v>30</v>
      </c>
      <c r="G45" s="89" t="str">
        <f aca="true">IFERROR(VLOOKUP(B45,INDIRECT("'"&amp;$F45&amp;"'!D3:D"),1,FALSE()), "Not found")</f>
        <v>Not found</v>
      </c>
      <c r="H45" s="89" t="n">
        <f aca="true">INDIRECT("'"&amp;$F45&amp;"'!D1")</f>
        <v>0</v>
      </c>
      <c r="I45" s="89" t="str">
        <f aca="false">IFERROR(__xludf.dummyfunction("REGEXEXTRACT(ADDRESS(ROW(), 19+$H45), ""[A-Z]+"")"),"S")</f>
        <v>S</v>
      </c>
      <c r="J45" s="89" t="str">
        <f aca="false">IFERROR(__xludf.dummyfunction("REGEXEXTRACT(ADDRESS(ROW(), 25+$H45), ""[A-Z]+"")"),"Y")</f>
        <v>Y</v>
      </c>
      <c r="K45" s="89" t="str">
        <f aca="false">IFERROR(__xludf.dummyfunction("REGEXEXTRACT(ADDRESS(ROW(), 27+$H45), ""[A-Z]+"")"),"AA")</f>
        <v>AA</v>
      </c>
      <c r="L45" s="89" t="str">
        <f aca="false">IFERROR(__xludf.dummyfunction("REGEXEXTRACT(ADDRESS(ROW(), 28+$H45), ""[A-Z]+"")"),"AB")</f>
        <v>AB</v>
      </c>
      <c r="M45" s="89" t="str">
        <f aca="false">IFERROR(__xludf.dummyfunction("REGEXEXTRACT(ADDRESS(ROW(), 34+$H45), ""[A-Z]+"")"),"AH")</f>
        <v>AH</v>
      </c>
      <c r="N45" s="89" t="str">
        <f aca="false">IFERROR(__xludf.dummyfunction("REGEXEXTRACT(ADDRESS(ROW(), 37+$H45), ""[A-Z]+"")"),"AK")</f>
        <v>AK</v>
      </c>
      <c r="O45" s="89" t="str">
        <f aca="false">IFERROR(__xludf.dummyfunction("REGEXEXTRACT(ADDRESS(ROW(), 38+$H45), ""[A-Z]+"")"),"AL")</f>
        <v>AL</v>
      </c>
      <c r="P45" s="89" t="str">
        <f aca="false">IFERROR(__xludf.dummyfunction("REGEXEXTRACT(ADDRESS(ROW(), 39+$H45), ""[A-Z]+"")"),"AM")</f>
        <v>AM</v>
      </c>
      <c r="Q45" s="89" t="str">
        <f aca="false">IFERROR(__xludf.dummyfunction("REGEXEXTRACT(ADDRESS(ROW(), 40+$H45), ""[A-Z]+"")"),"AN")</f>
        <v>AN</v>
      </c>
      <c r="R45" s="89" t="n">
        <f aca="false">IFERROR(__xludf.dummyfunction("IFERROR(QUERY(INDIRECT(""'""&amp;$F45&amp;""'!C3:""&amp;Q45&amp;""""), ""SELECT ""&amp;I45&amp;"", ""&amp;J45&amp;"", ""&amp;K45&amp;"", ""&amp;L45&amp;"", ""&amp;M45&amp;"", ""&amp;N45&amp;"", ""&amp;O45&amp;"", ""&amp;P45&amp;"" WHERE '""&amp;B45&amp;""' CONTAINS D"", 0), """")"),18)</f>
        <v>18</v>
      </c>
      <c r="S45" s="89" t="n">
        <f aca="false">IFERROR(__xludf.dummyfunction("""COMPUTED_VALUE"""),19)</f>
        <v>19</v>
      </c>
      <c r="T45" s="89"/>
      <c r="U45" s="89"/>
      <c r="V45" s="89" t="n">
        <f aca="false">IFERROR(__xludf.dummyfunction("""COMPUTED_VALUE"""),6)</f>
        <v>6</v>
      </c>
      <c r="W45" s="89"/>
      <c r="X45" s="89" t="n">
        <f aca="false">IFERROR(__xludf.dummyfunction("""COMPUTED_VALUE"""),35)</f>
        <v>35</v>
      </c>
      <c r="Y45" s="89" t="n">
        <f aca="false">IFERROR(__xludf.dummyfunction("""COMPUTED_VALUE"""),78)</f>
        <v>78</v>
      </c>
    </row>
    <row r="46" customFormat="false" ht="17.9" hidden="false" customHeight="false" outlineLevel="0" collapsed="false">
      <c r="A46" s="85" t="n">
        <v>45</v>
      </c>
      <c r="B46" s="85" t="n">
        <v>463219</v>
      </c>
      <c r="C46" s="86" t="s">
        <v>141</v>
      </c>
      <c r="D46" s="87" t="s">
        <v>87</v>
      </c>
      <c r="E46" s="88" t="str">
        <f aca="false">D46</f>
        <v>P3130</v>
      </c>
      <c r="F46" s="88" t="str">
        <f aca="false">REPLACE(E46, 1, 3, "")</f>
        <v>30</v>
      </c>
      <c r="G46" s="89" t="str">
        <f aca="true">IFERROR(VLOOKUP(B46,INDIRECT("'"&amp;$F46&amp;"'!D3:D"),1,FALSE()), "Not found")</f>
        <v>Not found</v>
      </c>
      <c r="H46" s="89" t="n">
        <f aca="true">INDIRECT("'"&amp;$F46&amp;"'!D1")</f>
        <v>0</v>
      </c>
      <c r="I46" s="89" t="str">
        <f aca="false">IFERROR(__xludf.dummyfunction("REGEXEXTRACT(ADDRESS(ROW(), 19+$H46), ""[A-Z]+"")"),"S")</f>
        <v>S</v>
      </c>
      <c r="J46" s="89" t="str">
        <f aca="false">IFERROR(__xludf.dummyfunction("REGEXEXTRACT(ADDRESS(ROW(), 25+$H46), ""[A-Z]+"")"),"Y")</f>
        <v>Y</v>
      </c>
      <c r="K46" s="89" t="str">
        <f aca="false">IFERROR(__xludf.dummyfunction("REGEXEXTRACT(ADDRESS(ROW(), 27+$H46), ""[A-Z]+"")"),"AA")</f>
        <v>AA</v>
      </c>
      <c r="L46" s="89" t="str">
        <f aca="false">IFERROR(__xludf.dummyfunction("REGEXEXTRACT(ADDRESS(ROW(), 28+$H46), ""[A-Z]+"")"),"AB")</f>
        <v>AB</v>
      </c>
      <c r="M46" s="89" t="str">
        <f aca="false">IFERROR(__xludf.dummyfunction("REGEXEXTRACT(ADDRESS(ROW(), 34+$H46), ""[A-Z]+"")"),"AH")</f>
        <v>AH</v>
      </c>
      <c r="N46" s="89" t="str">
        <f aca="false">IFERROR(__xludf.dummyfunction("REGEXEXTRACT(ADDRESS(ROW(), 37+$H46), ""[A-Z]+"")"),"AK")</f>
        <v>AK</v>
      </c>
      <c r="O46" s="89" t="str">
        <f aca="false">IFERROR(__xludf.dummyfunction("REGEXEXTRACT(ADDRESS(ROW(), 38+$H46), ""[A-Z]+"")"),"AL")</f>
        <v>AL</v>
      </c>
      <c r="P46" s="89" t="str">
        <f aca="false">IFERROR(__xludf.dummyfunction("REGEXEXTRACT(ADDRESS(ROW(), 39+$H46), ""[A-Z]+"")"),"AM")</f>
        <v>AM</v>
      </c>
      <c r="Q46" s="89" t="str">
        <f aca="false">IFERROR(__xludf.dummyfunction("REGEXEXTRACT(ADDRESS(ROW(), 40+$H46), ""[A-Z]+"")"),"AN")</f>
        <v>AN</v>
      </c>
      <c r="R46" s="89" t="str">
        <f aca="false">IFERROR(__xludf.dummyfunction("IFERROR(QUERY(INDIRECT(""'""&amp;$F46&amp;""'!C3:""&amp;Q46&amp;""""), ""SELECT ""&amp;I46&amp;"", ""&amp;J46&amp;"", ""&amp;K46&amp;"", ""&amp;L46&amp;"", ""&amp;M46&amp;"", ""&amp;N46&amp;"", ""&amp;O46&amp;"", ""&amp;P46&amp;"" WHERE '""&amp;B46&amp;""' CONTAINS D"", 0), """")"),"")</f>
        <v/>
      </c>
      <c r="S46" s="89"/>
      <c r="T46" s="89"/>
      <c r="U46" s="89"/>
      <c r="V46" s="89" t="n">
        <f aca="false">IFERROR(__xludf.dummyfunction("""COMPUTED_VALUE"""),0)</f>
        <v>0</v>
      </c>
      <c r="W46" s="89"/>
      <c r="X46" s="89" t="n">
        <f aca="false">IFERROR(__xludf.dummyfunction("""COMPUTED_VALUE"""),0)</f>
        <v>0</v>
      </c>
      <c r="Y46" s="89" t="n">
        <f aca="false">IFERROR(__xludf.dummyfunction("""COMPUTED_VALUE"""),0)</f>
        <v>0</v>
      </c>
    </row>
    <row r="47" customFormat="false" ht="17.9" hidden="false" customHeight="false" outlineLevel="0" collapsed="false">
      <c r="A47" s="85" t="n">
        <v>46</v>
      </c>
      <c r="B47" s="85" t="n">
        <v>465439</v>
      </c>
      <c r="C47" s="86" t="s">
        <v>142</v>
      </c>
      <c r="D47" s="87" t="s">
        <v>89</v>
      </c>
      <c r="E47" s="88" t="str">
        <f aca="false">D47</f>
        <v>P3119</v>
      </c>
      <c r="F47" s="88" t="str">
        <f aca="false">REPLACE(E47, 1, 3, "")</f>
        <v>19</v>
      </c>
      <c r="G47" s="89" t="str">
        <f aca="true">IFERROR(VLOOKUP(B47,INDIRECT("'"&amp;$F47&amp;"'!D3:D"),1,FALSE()), "Not found")</f>
        <v>Not found</v>
      </c>
      <c r="H47" s="89" t="n">
        <f aca="true">INDIRECT("'"&amp;$F47&amp;"'!D1")</f>
        <v>0</v>
      </c>
      <c r="I47" s="89" t="str">
        <f aca="false">IFERROR(__xludf.dummyfunction("REGEXEXTRACT(ADDRESS(ROW(), 19+$H47), ""[A-Z]+"")"),"S")</f>
        <v>S</v>
      </c>
      <c r="J47" s="89" t="str">
        <f aca="false">IFERROR(__xludf.dummyfunction("REGEXEXTRACT(ADDRESS(ROW(), 25+$H47), ""[A-Z]+"")"),"Y")</f>
        <v>Y</v>
      </c>
      <c r="K47" s="89" t="str">
        <f aca="false">IFERROR(__xludf.dummyfunction("REGEXEXTRACT(ADDRESS(ROW(), 27+$H47), ""[A-Z]+"")"),"AA")</f>
        <v>AA</v>
      </c>
      <c r="L47" s="89" t="str">
        <f aca="false">IFERROR(__xludf.dummyfunction("REGEXEXTRACT(ADDRESS(ROW(), 28+$H47), ""[A-Z]+"")"),"AB")</f>
        <v>AB</v>
      </c>
      <c r="M47" s="89" t="str">
        <f aca="false">IFERROR(__xludf.dummyfunction("REGEXEXTRACT(ADDRESS(ROW(), 34+$H47), ""[A-Z]+"")"),"AH")</f>
        <v>AH</v>
      </c>
      <c r="N47" s="89" t="str">
        <f aca="false">IFERROR(__xludf.dummyfunction("REGEXEXTRACT(ADDRESS(ROW(), 37+$H47), ""[A-Z]+"")"),"AK")</f>
        <v>AK</v>
      </c>
      <c r="O47" s="89" t="str">
        <f aca="false">IFERROR(__xludf.dummyfunction("REGEXEXTRACT(ADDRESS(ROW(), 38+$H47), ""[A-Z]+"")"),"AL")</f>
        <v>AL</v>
      </c>
      <c r="P47" s="89" t="str">
        <f aca="false">IFERROR(__xludf.dummyfunction("REGEXEXTRACT(ADDRESS(ROW(), 39+$H47), ""[A-Z]+"")"),"AM")</f>
        <v>AM</v>
      </c>
      <c r="Q47" s="89" t="str">
        <f aca="false">IFERROR(__xludf.dummyfunction("REGEXEXTRACT(ADDRESS(ROW(), 40+$H47), ""[A-Z]+"")"),"AN")</f>
        <v>AN</v>
      </c>
      <c r="R47" s="89" t="n">
        <f aca="false">IFERROR(__xludf.dummyfunction("IFERROR(QUERY(INDIRECT(""'""&amp;$F47&amp;""'!C3:""&amp;Q47&amp;""""), ""SELECT ""&amp;I47&amp;"", ""&amp;J47&amp;"", ""&amp;K47&amp;"", ""&amp;L47&amp;"", ""&amp;M47&amp;"", ""&amp;N47&amp;"", ""&amp;O47&amp;"", ""&amp;P47&amp;"" WHERE '""&amp;B47&amp;""' CONTAINS D"", 0), """")"),18)</f>
        <v>18</v>
      </c>
      <c r="S47" s="89" t="n">
        <f aca="false">IFERROR(__xludf.dummyfunction("""COMPUTED_VALUE"""),19)</f>
        <v>19</v>
      </c>
      <c r="T47" s="89"/>
      <c r="U47" s="89"/>
      <c r="V47" s="89" t="n">
        <f aca="false">IFERROR(__xludf.dummyfunction("""COMPUTED_VALUE"""),10)</f>
        <v>10</v>
      </c>
      <c r="W47" s="89"/>
      <c r="X47" s="89" t="n">
        <f aca="false">IFERROR(__xludf.dummyfunction("""COMPUTED_VALUE"""),40)</f>
        <v>40</v>
      </c>
      <c r="Y47" s="89" t="n">
        <f aca="false">IFERROR(__xludf.dummyfunction("""COMPUTED_VALUE"""),87)</f>
        <v>87</v>
      </c>
    </row>
    <row r="48" customFormat="false" ht="17.9" hidden="false" customHeight="false" outlineLevel="0" collapsed="false">
      <c r="A48" s="85" t="n">
        <v>47</v>
      </c>
      <c r="B48" s="85" t="n">
        <v>441010</v>
      </c>
      <c r="C48" s="86" t="s">
        <v>143</v>
      </c>
      <c r="D48" s="87" t="s">
        <v>87</v>
      </c>
      <c r="E48" s="88" t="str">
        <f aca="false">D48</f>
        <v>P3130</v>
      </c>
      <c r="F48" s="88" t="str">
        <f aca="false">REPLACE(E48, 1, 3, "")</f>
        <v>30</v>
      </c>
      <c r="G48" s="89" t="str">
        <f aca="true">IFERROR(VLOOKUP(B48,INDIRECT("'"&amp;$F48&amp;"'!D3:D"),1,FALSE()), "Not found")</f>
        <v>Not found</v>
      </c>
      <c r="H48" s="89" t="n">
        <f aca="true">INDIRECT("'"&amp;$F48&amp;"'!D1")</f>
        <v>0</v>
      </c>
      <c r="I48" s="89" t="str">
        <f aca="false">IFERROR(__xludf.dummyfunction("REGEXEXTRACT(ADDRESS(ROW(), 19+$H48), ""[A-Z]+"")"),"S")</f>
        <v>S</v>
      </c>
      <c r="J48" s="89" t="str">
        <f aca="false">IFERROR(__xludf.dummyfunction("REGEXEXTRACT(ADDRESS(ROW(), 25+$H48), ""[A-Z]+"")"),"Y")</f>
        <v>Y</v>
      </c>
      <c r="K48" s="89" t="str">
        <f aca="false">IFERROR(__xludf.dummyfunction("REGEXEXTRACT(ADDRESS(ROW(), 27+$H48), ""[A-Z]+"")"),"AA")</f>
        <v>AA</v>
      </c>
      <c r="L48" s="89" t="str">
        <f aca="false">IFERROR(__xludf.dummyfunction("REGEXEXTRACT(ADDRESS(ROW(), 28+$H48), ""[A-Z]+"")"),"AB")</f>
        <v>AB</v>
      </c>
      <c r="M48" s="89" t="str">
        <f aca="false">IFERROR(__xludf.dummyfunction("REGEXEXTRACT(ADDRESS(ROW(), 34+$H48), ""[A-Z]+"")"),"AH")</f>
        <v>AH</v>
      </c>
      <c r="N48" s="89" t="str">
        <f aca="false">IFERROR(__xludf.dummyfunction("REGEXEXTRACT(ADDRESS(ROW(), 37+$H48), ""[A-Z]+"")"),"AK")</f>
        <v>AK</v>
      </c>
      <c r="O48" s="89" t="str">
        <f aca="false">IFERROR(__xludf.dummyfunction("REGEXEXTRACT(ADDRESS(ROW(), 38+$H48), ""[A-Z]+"")"),"AL")</f>
        <v>AL</v>
      </c>
      <c r="P48" s="89" t="str">
        <f aca="false">IFERROR(__xludf.dummyfunction("REGEXEXTRACT(ADDRESS(ROW(), 39+$H48), ""[A-Z]+"")"),"AM")</f>
        <v>AM</v>
      </c>
      <c r="Q48" s="89" t="str">
        <f aca="false">IFERROR(__xludf.dummyfunction("REGEXEXTRACT(ADDRESS(ROW(), 40+$H48), ""[A-Z]+"")"),"AN")</f>
        <v>AN</v>
      </c>
      <c r="R48" s="89" t="str">
        <f aca="false">IFERROR(__xludf.dummyfunction("IFERROR(QUERY(INDIRECT(""'""&amp;$F48&amp;""'!C3:""&amp;Q48&amp;""""), ""SELECT ""&amp;I48&amp;"", ""&amp;J48&amp;"", ""&amp;K48&amp;"", ""&amp;L48&amp;"", ""&amp;M48&amp;"", ""&amp;N48&amp;"", ""&amp;O48&amp;"", ""&amp;P48&amp;"" WHERE '""&amp;B48&amp;""' CONTAINS D"", 0), """")"),"")</f>
        <v/>
      </c>
      <c r="S48" s="89"/>
      <c r="T48" s="89"/>
      <c r="U48" s="89"/>
      <c r="V48" s="89" t="n">
        <f aca="false">IFERROR(__xludf.dummyfunction("""COMPUTED_VALUE"""),0.01)</f>
        <v>0.01</v>
      </c>
      <c r="W48" s="89"/>
      <c r="X48" s="89" t="n">
        <f aca="false">IFERROR(__xludf.dummyfunction("""COMPUTED_VALUE"""),0)</f>
        <v>0</v>
      </c>
      <c r="Y48" s="89" t="n">
        <f aca="false">IFERROR(__xludf.dummyfunction("""COMPUTED_VALUE"""),0.01)</f>
        <v>0.01</v>
      </c>
    </row>
    <row r="49" customFormat="false" ht="17.9" hidden="false" customHeight="false" outlineLevel="0" collapsed="false">
      <c r="A49" s="85" t="n">
        <v>48</v>
      </c>
      <c r="B49" s="85" t="n">
        <v>465457</v>
      </c>
      <c r="C49" s="86" t="s">
        <v>144</v>
      </c>
      <c r="D49" s="87" t="s">
        <v>139</v>
      </c>
      <c r="E49" s="88" t="str">
        <f aca="false">D49</f>
        <v>P3118</v>
      </c>
      <c r="F49" s="88" t="str">
        <f aca="false">REPLACE(E49, 1, 3, "")</f>
        <v>18</v>
      </c>
      <c r="G49" s="89" t="str">
        <f aca="true">IFERROR(VLOOKUP(B49,INDIRECT("'"&amp;$F49&amp;"'!D3:D"),1,FALSE()), "Not found")</f>
        <v>Not found</v>
      </c>
      <c r="H49" s="89" t="n">
        <f aca="true">INDIRECT("'"&amp;$F49&amp;"'!D1")</f>
        <v>0</v>
      </c>
      <c r="I49" s="89" t="str">
        <f aca="false">IFERROR(__xludf.dummyfunction("REGEXEXTRACT(ADDRESS(ROW(), 19+$H49), ""[A-Z]+"")"),"S")</f>
        <v>S</v>
      </c>
      <c r="J49" s="89" t="str">
        <f aca="false">IFERROR(__xludf.dummyfunction("REGEXEXTRACT(ADDRESS(ROW(), 25+$H49), ""[A-Z]+"")"),"Y")</f>
        <v>Y</v>
      </c>
      <c r="K49" s="89" t="str">
        <f aca="false">IFERROR(__xludf.dummyfunction("REGEXEXTRACT(ADDRESS(ROW(), 27+$H49), ""[A-Z]+"")"),"AA")</f>
        <v>AA</v>
      </c>
      <c r="L49" s="89" t="str">
        <f aca="false">IFERROR(__xludf.dummyfunction("REGEXEXTRACT(ADDRESS(ROW(), 28+$H49), ""[A-Z]+"")"),"AB")</f>
        <v>AB</v>
      </c>
      <c r="M49" s="89" t="str">
        <f aca="false">IFERROR(__xludf.dummyfunction("REGEXEXTRACT(ADDRESS(ROW(), 34+$H49), ""[A-Z]+"")"),"AH")</f>
        <v>AH</v>
      </c>
      <c r="N49" s="89" t="str">
        <f aca="false">IFERROR(__xludf.dummyfunction("REGEXEXTRACT(ADDRESS(ROW(), 37+$H49), ""[A-Z]+"")"),"AK")</f>
        <v>AK</v>
      </c>
      <c r="O49" s="89" t="str">
        <f aca="false">IFERROR(__xludf.dummyfunction("REGEXEXTRACT(ADDRESS(ROW(), 38+$H49), ""[A-Z]+"")"),"AL")</f>
        <v>AL</v>
      </c>
      <c r="P49" s="89" t="str">
        <f aca="false">IFERROR(__xludf.dummyfunction("REGEXEXTRACT(ADDRESS(ROW(), 39+$H49), ""[A-Z]+"")"),"AM")</f>
        <v>AM</v>
      </c>
      <c r="Q49" s="89" t="str">
        <f aca="false">IFERROR(__xludf.dummyfunction("REGEXEXTRACT(ADDRESS(ROW(), 40+$H49), ""[A-Z]+"")"),"AN")</f>
        <v>AN</v>
      </c>
      <c r="R49" s="89" t="n">
        <f aca="false">IFERROR(__xludf.dummyfunction("IFERROR(QUERY(INDIRECT(""'""&amp;$F49&amp;""'!C3:""&amp;Q49&amp;""""), ""SELECT ""&amp;I49&amp;"", ""&amp;J49&amp;"", ""&amp;K49&amp;"", ""&amp;L49&amp;"", ""&amp;M49&amp;"", ""&amp;N49&amp;"", ""&amp;O49&amp;"", ""&amp;P49&amp;"" WHERE '""&amp;B49&amp;""' CONTAINS D"", 0), """")"),15.2)</f>
        <v>15.2</v>
      </c>
      <c r="S49" s="89" t="n">
        <f aca="false">IFERROR(__xludf.dummyfunction("""COMPUTED_VALUE"""),16.5)</f>
        <v>16.5</v>
      </c>
      <c r="T49" s="89"/>
      <c r="U49" s="89"/>
      <c r="V49" s="89" t="n">
        <f aca="false">IFERROR(__xludf.dummyfunction("""COMPUTED_VALUE"""),6)</f>
        <v>6</v>
      </c>
      <c r="W49" s="89"/>
      <c r="X49" s="89" t="n">
        <f aca="false">IFERROR(__xludf.dummyfunction("""COMPUTED_VALUE"""),30)</f>
        <v>30</v>
      </c>
      <c r="Y49" s="89" t="n">
        <f aca="false">IFERROR(__xludf.dummyfunction("""COMPUTED_VALUE"""),67.7)</f>
        <v>67.7</v>
      </c>
    </row>
    <row r="50" customFormat="false" ht="17.9" hidden="false" customHeight="false" outlineLevel="0" collapsed="false">
      <c r="A50" s="85" t="n">
        <v>49</v>
      </c>
      <c r="B50" s="85" t="n">
        <v>465479</v>
      </c>
      <c r="C50" s="86" t="s">
        <v>145</v>
      </c>
      <c r="D50" s="87" t="s">
        <v>146</v>
      </c>
      <c r="E50" s="88" t="str">
        <f aca="false">D50</f>
        <v>P3113</v>
      </c>
      <c r="F50" s="88" t="str">
        <f aca="false">REPLACE(E50, 1, 3, "")</f>
        <v>13</v>
      </c>
      <c r="G50" s="89" t="str">
        <f aca="true">IFERROR(VLOOKUP(B50,INDIRECT("'"&amp;$F50&amp;"'!D3:D"),1,FALSE()), "Not found")</f>
        <v>Not found</v>
      </c>
      <c r="H50" s="89" t="n">
        <f aca="true">INDIRECT("'"&amp;$F50&amp;"'!D1")</f>
        <v>0</v>
      </c>
      <c r="I50" s="89" t="str">
        <f aca="false">IFERROR(__xludf.dummyfunction("REGEXEXTRACT(ADDRESS(ROW(), 19+$H50), ""[A-Z]+"")"),"S")</f>
        <v>S</v>
      </c>
      <c r="J50" s="89" t="str">
        <f aca="false">IFERROR(__xludf.dummyfunction("REGEXEXTRACT(ADDRESS(ROW(), 25+$H50), ""[A-Z]+"")"),"Y")</f>
        <v>Y</v>
      </c>
      <c r="K50" s="89" t="str">
        <f aca="false">IFERROR(__xludf.dummyfunction("REGEXEXTRACT(ADDRESS(ROW(), 27+$H50), ""[A-Z]+"")"),"AA")</f>
        <v>AA</v>
      </c>
      <c r="L50" s="89" t="str">
        <f aca="false">IFERROR(__xludf.dummyfunction("REGEXEXTRACT(ADDRESS(ROW(), 28+$H50), ""[A-Z]+"")"),"AB")</f>
        <v>AB</v>
      </c>
      <c r="M50" s="89" t="str">
        <f aca="false">IFERROR(__xludf.dummyfunction("REGEXEXTRACT(ADDRESS(ROW(), 34+$H50), ""[A-Z]+"")"),"AH")</f>
        <v>AH</v>
      </c>
      <c r="N50" s="89" t="str">
        <f aca="false">IFERROR(__xludf.dummyfunction("REGEXEXTRACT(ADDRESS(ROW(), 37+$H50), ""[A-Z]+"")"),"AK")</f>
        <v>AK</v>
      </c>
      <c r="O50" s="89" t="str">
        <f aca="false">IFERROR(__xludf.dummyfunction("REGEXEXTRACT(ADDRESS(ROW(), 38+$H50), ""[A-Z]+"")"),"AL")</f>
        <v>AL</v>
      </c>
      <c r="P50" s="89" t="str">
        <f aca="false">IFERROR(__xludf.dummyfunction("REGEXEXTRACT(ADDRESS(ROW(), 39+$H50), ""[A-Z]+"")"),"AM")</f>
        <v>AM</v>
      </c>
      <c r="Q50" s="89" t="str">
        <f aca="false">IFERROR(__xludf.dummyfunction("REGEXEXTRACT(ADDRESS(ROW(), 40+$H50), ""[A-Z]+"")"),"AN")</f>
        <v>AN</v>
      </c>
      <c r="R50" s="89" t="n">
        <f aca="false">IFERROR(__xludf.dummyfunction("IFERROR(QUERY(INDIRECT(""'""&amp;$F50&amp;""'!C3:""&amp;Q50&amp;""""), ""SELECT ""&amp;I50&amp;"", ""&amp;J50&amp;"", ""&amp;K50&amp;"", ""&amp;L50&amp;"", ""&amp;M50&amp;"", ""&amp;N50&amp;"", ""&amp;O50&amp;"", ""&amp;P50&amp;"" WHERE '""&amp;B50&amp;""' CONTAINS D"", 0), """")"),12)</f>
        <v>12</v>
      </c>
      <c r="S50" s="89" t="n">
        <f aca="false">IFERROR(__xludf.dummyfunction("""COMPUTED_VALUE"""),14)</f>
        <v>14</v>
      </c>
      <c r="T50" s="89"/>
      <c r="U50" s="89"/>
      <c r="V50" s="89" t="n">
        <f aca="false">IFERROR(__xludf.dummyfunction("""COMPUTED_VALUE"""),6)</f>
        <v>6</v>
      </c>
      <c r="W50" s="89"/>
      <c r="X50" s="89" t="n">
        <f aca="false">IFERROR(__xludf.dummyfunction("""COMPUTED_VALUE"""),28)</f>
        <v>28</v>
      </c>
      <c r="Y50" s="89" t="n">
        <f aca="false">IFERROR(__xludf.dummyfunction("""COMPUTED_VALUE"""),60)</f>
        <v>60</v>
      </c>
    </row>
    <row r="51" customFormat="false" ht="17.9" hidden="false" customHeight="false" outlineLevel="0" collapsed="false">
      <c r="A51" s="85" t="n">
        <v>50</v>
      </c>
      <c r="B51" s="85" t="n">
        <v>465486</v>
      </c>
      <c r="C51" s="86" t="s">
        <v>147</v>
      </c>
      <c r="D51" s="87" t="s">
        <v>130</v>
      </c>
      <c r="E51" s="88" t="str">
        <f aca="false">D51</f>
        <v>P3117</v>
      </c>
      <c r="F51" s="88" t="str">
        <f aca="false">REPLACE(E51, 1, 3, "")</f>
        <v>17</v>
      </c>
      <c r="G51" s="89" t="str">
        <f aca="true">IFERROR(VLOOKUP(B51,INDIRECT("'"&amp;$F51&amp;"'!D3:D"),1,FALSE()), "Not found")</f>
        <v>Not found</v>
      </c>
      <c r="H51" s="89" t="n">
        <f aca="true">INDIRECT("'"&amp;$F51&amp;"'!D1")</f>
        <v>1</v>
      </c>
      <c r="I51" s="89" t="str">
        <f aca="false">IFERROR(__xludf.dummyfunction("REGEXEXTRACT(ADDRESS(ROW(), 19+$H51), ""[A-Z]+"")"),"T")</f>
        <v>T</v>
      </c>
      <c r="J51" s="89" t="str">
        <f aca="false">IFERROR(__xludf.dummyfunction("REGEXEXTRACT(ADDRESS(ROW(), 25+$H51), ""[A-Z]+"")"),"Z")</f>
        <v>Z</v>
      </c>
      <c r="K51" s="89" t="str">
        <f aca="false">IFERROR(__xludf.dummyfunction("REGEXEXTRACT(ADDRESS(ROW(), 27+$H51), ""[A-Z]+"")"),"AB")</f>
        <v>AB</v>
      </c>
      <c r="L51" s="89" t="str">
        <f aca="false">IFERROR(__xludf.dummyfunction("REGEXEXTRACT(ADDRESS(ROW(), 28+$H51), ""[A-Z]+"")"),"AC")</f>
        <v>AC</v>
      </c>
      <c r="M51" s="89" t="str">
        <f aca="false">IFERROR(__xludf.dummyfunction("REGEXEXTRACT(ADDRESS(ROW(), 34+$H51), ""[A-Z]+"")"),"AI")</f>
        <v>AI</v>
      </c>
      <c r="N51" s="89" t="str">
        <f aca="false">IFERROR(__xludf.dummyfunction("REGEXEXTRACT(ADDRESS(ROW(), 37+$H51), ""[A-Z]+"")"),"AL")</f>
        <v>AL</v>
      </c>
      <c r="O51" s="89" t="str">
        <f aca="false">IFERROR(__xludf.dummyfunction("REGEXEXTRACT(ADDRESS(ROW(), 38+$H51), ""[A-Z]+"")"),"AM")</f>
        <v>AM</v>
      </c>
      <c r="P51" s="89" t="str">
        <f aca="false">IFERROR(__xludf.dummyfunction("REGEXEXTRACT(ADDRESS(ROW(), 39+$H51), ""[A-Z]+"")"),"AN")</f>
        <v>AN</v>
      </c>
      <c r="Q51" s="89" t="str">
        <f aca="false">IFERROR(__xludf.dummyfunction("REGEXEXTRACT(ADDRESS(ROW(), 40+$H51), ""[A-Z]+"")"),"AO")</f>
        <v>AO</v>
      </c>
      <c r="R51" s="89" t="str">
        <f aca="false">IFERROR(__xludf.dummyfunction("IFERROR(QUERY(INDIRECT(""'""&amp;$F51&amp;""'!C3:""&amp;Q51&amp;""""), ""SELECT ""&amp;I51&amp;"", ""&amp;J51&amp;"", ""&amp;K51&amp;"", ""&amp;L51&amp;"", ""&amp;M51&amp;"", ""&amp;N51&amp;"", ""&amp;O51&amp;"", ""&amp;P51&amp;"" WHERE '""&amp;B51&amp;""' CONTAINS D"", 0), """")"),"")</f>
        <v/>
      </c>
      <c r="S51" s="89"/>
      <c r="T51" s="89"/>
      <c r="U51" s="89"/>
      <c r="V51" s="89" t="n">
        <f aca="false">IFERROR(__xludf.dummyfunction("""COMPUTED_VALUE"""),0)</f>
        <v>0</v>
      </c>
      <c r="W51" s="89"/>
      <c r="X51" s="89"/>
      <c r="Y51" s="89" t="n">
        <f aca="false">IFERROR(__xludf.dummyfunction("""COMPUTED_VALUE"""),0)</f>
        <v>0</v>
      </c>
    </row>
    <row r="52" customFormat="false" ht="17.9" hidden="false" customHeight="false" outlineLevel="0" collapsed="false">
      <c r="A52" s="85" t="n">
        <v>51</v>
      </c>
      <c r="B52" s="85" t="n">
        <v>465487</v>
      </c>
      <c r="C52" s="86" t="s">
        <v>148</v>
      </c>
      <c r="D52" s="87" t="s">
        <v>117</v>
      </c>
      <c r="E52" s="88" t="str">
        <f aca="false">D52</f>
        <v>P3116</v>
      </c>
      <c r="F52" s="88" t="str">
        <f aca="false">REPLACE(E52, 1, 3, "")</f>
        <v>16</v>
      </c>
      <c r="G52" s="89" t="str">
        <f aca="true">IFERROR(VLOOKUP(B52,INDIRECT("'"&amp;$F52&amp;"'!D3:D"),1,FALSE()), "Not found")</f>
        <v>Not found</v>
      </c>
      <c r="H52" s="89" t="n">
        <f aca="true">INDIRECT("'"&amp;$F52&amp;"'!D1")</f>
        <v>0</v>
      </c>
      <c r="I52" s="89" t="str">
        <f aca="false">IFERROR(__xludf.dummyfunction("REGEXEXTRACT(ADDRESS(ROW(), 19+$H52), ""[A-Z]+"")"),"S")</f>
        <v>S</v>
      </c>
      <c r="J52" s="89" t="str">
        <f aca="false">IFERROR(__xludf.dummyfunction("REGEXEXTRACT(ADDRESS(ROW(), 25+$H52), ""[A-Z]+"")"),"Y")</f>
        <v>Y</v>
      </c>
      <c r="K52" s="89" t="str">
        <f aca="false">IFERROR(__xludf.dummyfunction("REGEXEXTRACT(ADDRESS(ROW(), 27+$H52), ""[A-Z]+"")"),"AA")</f>
        <v>AA</v>
      </c>
      <c r="L52" s="89" t="str">
        <f aca="false">IFERROR(__xludf.dummyfunction("REGEXEXTRACT(ADDRESS(ROW(), 28+$H52), ""[A-Z]+"")"),"AB")</f>
        <v>AB</v>
      </c>
      <c r="M52" s="89" t="str">
        <f aca="false">IFERROR(__xludf.dummyfunction("REGEXEXTRACT(ADDRESS(ROW(), 34+$H52), ""[A-Z]+"")"),"AH")</f>
        <v>AH</v>
      </c>
      <c r="N52" s="89" t="str">
        <f aca="false">IFERROR(__xludf.dummyfunction("REGEXEXTRACT(ADDRESS(ROW(), 37+$H52), ""[A-Z]+"")"),"AK")</f>
        <v>AK</v>
      </c>
      <c r="O52" s="89" t="str">
        <f aca="false">IFERROR(__xludf.dummyfunction("REGEXEXTRACT(ADDRESS(ROW(), 38+$H52), ""[A-Z]+"")"),"AL")</f>
        <v>AL</v>
      </c>
      <c r="P52" s="89" t="str">
        <f aca="false">IFERROR(__xludf.dummyfunction("REGEXEXTRACT(ADDRESS(ROW(), 39+$H52), ""[A-Z]+"")"),"AM")</f>
        <v>AM</v>
      </c>
      <c r="Q52" s="89" t="str">
        <f aca="false">IFERROR(__xludf.dummyfunction("REGEXEXTRACT(ADDRESS(ROW(), 40+$H52), ""[A-Z]+"")"),"AN")</f>
        <v>AN</v>
      </c>
      <c r="R52" s="89" t="n">
        <f aca="false">IFERROR(__xludf.dummyfunction("IFERROR(QUERY(INDIRECT(""'""&amp;$F52&amp;""'!C3:""&amp;Q52&amp;""""), ""SELECT ""&amp;I52&amp;"", ""&amp;J52&amp;"", ""&amp;K52&amp;"", ""&amp;L52&amp;"", ""&amp;M52&amp;"", ""&amp;N52&amp;"", ""&amp;O52&amp;"", ""&amp;P52&amp;"" WHERE '""&amp;B52&amp;""' CONTAINS D"", 0), """")"),20)</f>
        <v>20</v>
      </c>
      <c r="S52" s="89" t="n">
        <f aca="false">IFERROR(__xludf.dummyfunction("""COMPUTED_VALUE"""),19)</f>
        <v>19</v>
      </c>
      <c r="T52" s="89"/>
      <c r="U52" s="89"/>
      <c r="V52" s="89" t="n">
        <f aca="false">IFERROR(__xludf.dummyfunction("""COMPUTED_VALUE"""),10)</f>
        <v>10</v>
      </c>
      <c r="W52" s="89"/>
      <c r="X52" s="89" t="n">
        <f aca="false">IFERROR(__xludf.dummyfunction("""COMPUTED_VALUE"""),40)</f>
        <v>40</v>
      </c>
      <c r="Y52" s="89" t="n">
        <f aca="false">IFERROR(__xludf.dummyfunction("""COMPUTED_VALUE"""),89)</f>
        <v>89</v>
      </c>
    </row>
    <row r="53" customFormat="false" ht="17.9" hidden="false" customHeight="false" outlineLevel="0" collapsed="false">
      <c r="A53" s="85" t="n">
        <v>52</v>
      </c>
      <c r="B53" s="85" t="n">
        <v>408417</v>
      </c>
      <c r="C53" s="86" t="s">
        <v>149</v>
      </c>
      <c r="D53" s="87" t="s">
        <v>125</v>
      </c>
      <c r="E53" s="88" t="str">
        <f aca="false">D53</f>
        <v>P3115</v>
      </c>
      <c r="F53" s="88" t="str">
        <f aca="false">REPLACE(E53, 1, 3, "")</f>
        <v>15</v>
      </c>
      <c r="G53" s="89" t="str">
        <f aca="true">IFERROR(VLOOKUP(B53,INDIRECT("'"&amp;$F53&amp;"'!D3:D"),1,FALSE()), "Not found")</f>
        <v>Not found</v>
      </c>
      <c r="H53" s="89" t="n">
        <f aca="true">INDIRECT("'"&amp;$F53&amp;"'!D1")</f>
        <v>1</v>
      </c>
      <c r="I53" s="89" t="str">
        <f aca="false">IFERROR(__xludf.dummyfunction("REGEXEXTRACT(ADDRESS(ROW(), 19+$H53), ""[A-Z]+"")"),"T")</f>
        <v>T</v>
      </c>
      <c r="J53" s="89" t="str">
        <f aca="false">IFERROR(__xludf.dummyfunction("REGEXEXTRACT(ADDRESS(ROW(), 25+$H53), ""[A-Z]+"")"),"Z")</f>
        <v>Z</v>
      </c>
      <c r="K53" s="89" t="str">
        <f aca="false">IFERROR(__xludf.dummyfunction("REGEXEXTRACT(ADDRESS(ROW(), 27+$H53), ""[A-Z]+"")"),"AB")</f>
        <v>AB</v>
      </c>
      <c r="L53" s="89" t="str">
        <f aca="false">IFERROR(__xludf.dummyfunction("REGEXEXTRACT(ADDRESS(ROW(), 28+$H53), ""[A-Z]+"")"),"AC")</f>
        <v>AC</v>
      </c>
      <c r="M53" s="89" t="str">
        <f aca="false">IFERROR(__xludf.dummyfunction("REGEXEXTRACT(ADDRESS(ROW(), 34+$H53), ""[A-Z]+"")"),"AI")</f>
        <v>AI</v>
      </c>
      <c r="N53" s="89" t="str">
        <f aca="false">IFERROR(__xludf.dummyfunction("REGEXEXTRACT(ADDRESS(ROW(), 37+$H53), ""[A-Z]+"")"),"AL")</f>
        <v>AL</v>
      </c>
      <c r="O53" s="89" t="str">
        <f aca="false">IFERROR(__xludf.dummyfunction("REGEXEXTRACT(ADDRESS(ROW(), 38+$H53), ""[A-Z]+"")"),"AM")</f>
        <v>AM</v>
      </c>
      <c r="P53" s="89" t="str">
        <f aca="false">IFERROR(__xludf.dummyfunction("REGEXEXTRACT(ADDRESS(ROW(), 39+$H53), ""[A-Z]+"")"),"AN")</f>
        <v>AN</v>
      </c>
      <c r="Q53" s="89" t="str">
        <f aca="false">IFERROR(__xludf.dummyfunction("REGEXEXTRACT(ADDRESS(ROW(), 40+$H53), ""[A-Z]+"")"),"AO")</f>
        <v>AO</v>
      </c>
      <c r="R53" s="89" t="n">
        <f aca="false">IFERROR(__xludf.dummyfunction("IFERROR(QUERY(INDIRECT(""'""&amp;$F53&amp;""'!C3:""&amp;Q53&amp;""""), ""SELECT ""&amp;I53&amp;"", ""&amp;J53&amp;"", ""&amp;K53&amp;"", ""&amp;L53&amp;"", ""&amp;M53&amp;"", ""&amp;N53&amp;"", ""&amp;O53&amp;"", ""&amp;P53&amp;"" WHERE '""&amp;B53&amp;""' CONTAINS D"", 0), """")"),19.5)</f>
        <v>19.5</v>
      </c>
      <c r="S53" s="89" t="n">
        <f aca="false">IFERROR(__xludf.dummyfunction("""COMPUTED_VALUE"""),19.8)</f>
        <v>19.8</v>
      </c>
      <c r="T53" s="89"/>
      <c r="U53" s="89"/>
      <c r="V53" s="89" t="n">
        <f aca="false">IFERROR(__xludf.dummyfunction("""COMPUTED_VALUE"""),6)</f>
        <v>6</v>
      </c>
      <c r="W53" s="89"/>
      <c r="X53" s="89" t="n">
        <f aca="false">IFERROR(__xludf.dummyfunction("""COMPUTED_VALUE"""),39)</f>
        <v>39</v>
      </c>
      <c r="Y53" s="89" t="n">
        <f aca="false">IFERROR(__xludf.dummyfunction("""COMPUTED_VALUE"""),84.3)</f>
        <v>84.3</v>
      </c>
    </row>
    <row r="54" customFormat="false" ht="17.9" hidden="false" customHeight="false" outlineLevel="0" collapsed="false">
      <c r="A54" s="85" t="n">
        <v>53</v>
      </c>
      <c r="B54" s="85" t="n">
        <v>471835</v>
      </c>
      <c r="C54" s="86" t="s">
        <v>150</v>
      </c>
      <c r="D54" s="87" t="s">
        <v>151</v>
      </c>
      <c r="E54" s="88" t="str">
        <f aca="false">D54</f>
        <v>P3122</v>
      </c>
      <c r="F54" s="88" t="str">
        <f aca="false">REPLACE(E54, 1, 3, "")</f>
        <v>22</v>
      </c>
      <c r="G54" s="89" t="n">
        <f aca="true">IFERROR(VLOOKUP(B54,INDIRECT("'"&amp;$F54&amp;"'!D3:D"),1,FALSE()), "Not found")</f>
        <v>471835</v>
      </c>
      <c r="H54" s="89" t="n">
        <f aca="true">INDIRECT("'"&amp;$F54&amp;"'!D1")</f>
        <v>0</v>
      </c>
      <c r="I54" s="89" t="str">
        <f aca="false">IFERROR(__xludf.dummyfunction("REGEXEXTRACT(ADDRESS(ROW(), 19+$H54), ""[A-Z]+"")"),"S")</f>
        <v>S</v>
      </c>
      <c r="J54" s="89" t="str">
        <f aca="false">IFERROR(__xludf.dummyfunction("REGEXEXTRACT(ADDRESS(ROW(), 25+$H54), ""[A-Z]+"")"),"Y")</f>
        <v>Y</v>
      </c>
      <c r="K54" s="89" t="str">
        <f aca="false">IFERROR(__xludf.dummyfunction("REGEXEXTRACT(ADDRESS(ROW(), 27+$H54), ""[A-Z]+"")"),"AA")</f>
        <v>AA</v>
      </c>
      <c r="L54" s="89" t="str">
        <f aca="false">IFERROR(__xludf.dummyfunction("REGEXEXTRACT(ADDRESS(ROW(), 28+$H54), ""[A-Z]+"")"),"AB")</f>
        <v>AB</v>
      </c>
      <c r="M54" s="89" t="str">
        <f aca="false">IFERROR(__xludf.dummyfunction("REGEXEXTRACT(ADDRESS(ROW(), 34+$H54), ""[A-Z]+"")"),"AH")</f>
        <v>AH</v>
      </c>
      <c r="N54" s="89" t="str">
        <f aca="false">IFERROR(__xludf.dummyfunction("REGEXEXTRACT(ADDRESS(ROW(), 37+$H54), ""[A-Z]+"")"),"AK")</f>
        <v>AK</v>
      </c>
      <c r="O54" s="89" t="str">
        <f aca="false">IFERROR(__xludf.dummyfunction("REGEXEXTRACT(ADDRESS(ROW(), 38+$H54), ""[A-Z]+"")"),"AL")</f>
        <v>AL</v>
      </c>
      <c r="P54" s="89" t="str">
        <f aca="false">IFERROR(__xludf.dummyfunction("REGEXEXTRACT(ADDRESS(ROW(), 39+$H54), ""[A-Z]+"")"),"AM")</f>
        <v>AM</v>
      </c>
      <c r="Q54" s="89" t="str">
        <f aca="false">IFERROR(__xludf.dummyfunction("REGEXEXTRACT(ADDRESS(ROW(), 40+$H54), ""[A-Z]+"")"),"AN")</f>
        <v>AN</v>
      </c>
      <c r="R54" s="89" t="n">
        <f aca="false">IFERROR(__xludf.dummyfunction("IFERROR(QUERY(INDIRECT(""'""&amp;$F54&amp;""'!C3:""&amp;Q54&amp;""""), ""SELECT ""&amp;I54&amp;"", ""&amp;J54&amp;"", ""&amp;K54&amp;"", ""&amp;L54&amp;"", ""&amp;M54&amp;"", ""&amp;N54&amp;"", ""&amp;O54&amp;"", ""&amp;P54&amp;"" WHERE '""&amp;B54&amp;""' CONTAINS D"", 0), """")"),18)</f>
        <v>18</v>
      </c>
      <c r="S54" s="89" t="n">
        <f aca="false">IFERROR(__xludf.dummyfunction("""COMPUTED_VALUE"""),16.5)</f>
        <v>16.5</v>
      </c>
      <c r="T54" s="89"/>
      <c r="U54" s="89"/>
      <c r="V54" s="89" t="n">
        <f aca="false">IFERROR(__xludf.dummyfunction("""COMPUTED_VALUE"""),6)</f>
        <v>6</v>
      </c>
      <c r="W54" s="89"/>
      <c r="X54" s="89" t="n">
        <f aca="false">IFERROR(__xludf.dummyfunction("""COMPUTED_VALUE"""),24)</f>
        <v>24</v>
      </c>
      <c r="Y54" s="89" t="n">
        <f aca="false">IFERROR(__xludf.dummyfunction("""COMPUTED_VALUE"""),64.5)</f>
        <v>64.5</v>
      </c>
    </row>
    <row r="55" customFormat="false" ht="17.9" hidden="false" customHeight="false" outlineLevel="0" collapsed="false">
      <c r="A55" s="85" t="n">
        <v>54</v>
      </c>
      <c r="B55" s="85" t="n">
        <v>465527</v>
      </c>
      <c r="C55" s="86" t="s">
        <v>152</v>
      </c>
      <c r="D55" s="87" t="s">
        <v>121</v>
      </c>
      <c r="E55" s="88" t="str">
        <f aca="false">D55</f>
        <v>P3120</v>
      </c>
      <c r="F55" s="88" t="str">
        <f aca="false">REPLACE(E55, 1, 3, "")</f>
        <v>20</v>
      </c>
      <c r="G55" s="89" t="str">
        <f aca="true">IFERROR(VLOOKUP(B55,INDIRECT("'"&amp;$F55&amp;"'!D3:D"),1,FALSE()), "Not found")</f>
        <v>Not found</v>
      </c>
      <c r="H55" s="89" t="n">
        <f aca="true">INDIRECT("'"&amp;$F55&amp;"'!D1")</f>
        <v>5</v>
      </c>
      <c r="I55" s="89" t="str">
        <f aca="false">IFERROR(__xludf.dummyfunction("REGEXEXTRACT(ADDRESS(ROW(), 19+$H55), ""[A-Z]+"")"),"X")</f>
        <v>X</v>
      </c>
      <c r="J55" s="89" t="str">
        <f aca="false">IFERROR(__xludf.dummyfunction("REGEXEXTRACT(ADDRESS(ROW(), 25+$H55), ""[A-Z]+"")"),"AD")</f>
        <v>AD</v>
      </c>
      <c r="K55" s="89" t="str">
        <f aca="false">IFERROR(__xludf.dummyfunction("REGEXEXTRACT(ADDRESS(ROW(), 27+$H55), ""[A-Z]+"")"),"AF")</f>
        <v>AF</v>
      </c>
      <c r="L55" s="89" t="str">
        <f aca="false">IFERROR(__xludf.dummyfunction("REGEXEXTRACT(ADDRESS(ROW(), 28+$H55), ""[A-Z]+"")"),"AG")</f>
        <v>AG</v>
      </c>
      <c r="M55" s="89" t="str">
        <f aca="false">IFERROR(__xludf.dummyfunction("REGEXEXTRACT(ADDRESS(ROW(), 34+$H55), ""[A-Z]+"")"),"AM")</f>
        <v>AM</v>
      </c>
      <c r="N55" s="89" t="str">
        <f aca="false">IFERROR(__xludf.dummyfunction("REGEXEXTRACT(ADDRESS(ROW(), 37+$H55), ""[A-Z]+"")"),"AP")</f>
        <v>AP</v>
      </c>
      <c r="O55" s="89" t="str">
        <f aca="false">IFERROR(__xludf.dummyfunction("REGEXEXTRACT(ADDRESS(ROW(), 38+$H55), ""[A-Z]+"")"),"AQ")</f>
        <v>AQ</v>
      </c>
      <c r="P55" s="89" t="str">
        <f aca="false">IFERROR(__xludf.dummyfunction("REGEXEXTRACT(ADDRESS(ROW(), 39+$H55), ""[A-Z]+"")"),"AR")</f>
        <v>AR</v>
      </c>
      <c r="Q55" s="89" t="str">
        <f aca="false">IFERROR(__xludf.dummyfunction("REGEXEXTRACT(ADDRESS(ROW(), 40+$H55), ""[A-Z]+"")"),"AS")</f>
        <v>AS</v>
      </c>
      <c r="R55" s="89" t="n">
        <f aca="false">IFERROR(__xludf.dummyfunction("IFERROR(QUERY(INDIRECT(""'""&amp;$F55&amp;""'!C3:""&amp;Q55&amp;""""), ""SELECT ""&amp;I55&amp;"", ""&amp;J55&amp;"", ""&amp;K55&amp;"", ""&amp;L55&amp;"", ""&amp;M55&amp;"", ""&amp;N55&amp;"", ""&amp;O55&amp;"", ""&amp;P55&amp;"" WHERE '""&amp;B55&amp;""' CONTAINS D"", 0), """")"),16)</f>
        <v>16</v>
      </c>
      <c r="S55" s="89" t="n">
        <f aca="false">IFERROR(__xludf.dummyfunction("""COMPUTED_VALUE"""),18)</f>
        <v>18</v>
      </c>
      <c r="T55" s="89"/>
      <c r="U55" s="89"/>
      <c r="V55" s="89" t="n">
        <f aca="false">IFERROR(__xludf.dummyfunction("""COMPUTED_VALUE"""),10)</f>
        <v>10</v>
      </c>
      <c r="W55" s="89"/>
      <c r="X55" s="89" t="n">
        <f aca="false">IFERROR(__xludf.dummyfunction("""COMPUTED_VALUE"""),30)</f>
        <v>30</v>
      </c>
      <c r="Y55" s="89" t="n">
        <f aca="false">IFERROR(__xludf.dummyfunction("""COMPUTED_VALUE"""),74)</f>
        <v>74</v>
      </c>
    </row>
    <row r="56" customFormat="false" ht="17.9" hidden="false" customHeight="false" outlineLevel="0" collapsed="false">
      <c r="A56" s="85" t="n">
        <v>55</v>
      </c>
      <c r="B56" s="85" t="n">
        <v>471842</v>
      </c>
      <c r="C56" s="86" t="s">
        <v>153</v>
      </c>
      <c r="D56" s="87" t="s">
        <v>102</v>
      </c>
      <c r="E56" s="88" t="str">
        <f aca="false">D56</f>
        <v>P3110</v>
      </c>
      <c r="F56" s="88" t="str">
        <f aca="false">REPLACE(E56, 1, 3, "")</f>
        <v>10</v>
      </c>
      <c r="G56" s="89" t="str">
        <f aca="true">IFERROR(VLOOKUP(B56,INDIRECT("'"&amp;$F56&amp;"'!D3:D"),1,FALSE()), "Not found")</f>
        <v>Not found</v>
      </c>
      <c r="H56" s="89" t="n">
        <f aca="true">INDIRECT("'"&amp;$F56&amp;"'!D1")</f>
        <v>0</v>
      </c>
      <c r="I56" s="89" t="str">
        <f aca="false">IFERROR(__xludf.dummyfunction("REGEXEXTRACT(ADDRESS(ROW(), 19+$H56), ""[A-Z]+"")"),"S")</f>
        <v>S</v>
      </c>
      <c r="J56" s="89" t="str">
        <f aca="false">IFERROR(__xludf.dummyfunction("REGEXEXTRACT(ADDRESS(ROW(), 25+$H56), ""[A-Z]+"")"),"Y")</f>
        <v>Y</v>
      </c>
      <c r="K56" s="89" t="str">
        <f aca="false">IFERROR(__xludf.dummyfunction("REGEXEXTRACT(ADDRESS(ROW(), 27+$H56), ""[A-Z]+"")"),"AA")</f>
        <v>AA</v>
      </c>
      <c r="L56" s="89" t="str">
        <f aca="false">IFERROR(__xludf.dummyfunction("REGEXEXTRACT(ADDRESS(ROW(), 28+$H56), ""[A-Z]+"")"),"AB")</f>
        <v>AB</v>
      </c>
      <c r="M56" s="89" t="str">
        <f aca="false">IFERROR(__xludf.dummyfunction("REGEXEXTRACT(ADDRESS(ROW(), 34+$H56), ""[A-Z]+"")"),"AH")</f>
        <v>AH</v>
      </c>
      <c r="N56" s="89" t="str">
        <f aca="false">IFERROR(__xludf.dummyfunction("REGEXEXTRACT(ADDRESS(ROW(), 37+$H56), ""[A-Z]+"")"),"AK")</f>
        <v>AK</v>
      </c>
      <c r="O56" s="89" t="str">
        <f aca="false">IFERROR(__xludf.dummyfunction("REGEXEXTRACT(ADDRESS(ROW(), 38+$H56), ""[A-Z]+"")"),"AL")</f>
        <v>AL</v>
      </c>
      <c r="P56" s="89" t="str">
        <f aca="false">IFERROR(__xludf.dummyfunction("REGEXEXTRACT(ADDRESS(ROW(), 39+$H56), ""[A-Z]+"")"),"AM")</f>
        <v>AM</v>
      </c>
      <c r="Q56" s="89" t="str">
        <f aca="false">IFERROR(__xludf.dummyfunction("REGEXEXTRACT(ADDRESS(ROW(), 40+$H56), ""[A-Z]+"")"),"AN")</f>
        <v>AN</v>
      </c>
      <c r="R56" s="89" t="n">
        <f aca="false">IFERROR(__xludf.dummyfunction("IFERROR(QUERY(INDIRECT(""'""&amp;$F56&amp;""'!C3:""&amp;Q56&amp;""""), ""SELECT ""&amp;I56&amp;"", ""&amp;J56&amp;"", ""&amp;K56&amp;"", ""&amp;L56&amp;"", ""&amp;M56&amp;"", ""&amp;N56&amp;"", ""&amp;O56&amp;"", ""&amp;P56&amp;"" WHERE '""&amp;B56&amp;""' CONTAINS D"", 0), """")"),14)</f>
        <v>14</v>
      </c>
      <c r="S56" s="89" t="n">
        <f aca="false">IFERROR(__xludf.dummyfunction("""COMPUTED_VALUE"""),12)</f>
        <v>12</v>
      </c>
      <c r="T56" s="89"/>
      <c r="U56" s="89"/>
      <c r="V56" s="89" t="n">
        <f aca="false">IFERROR(__xludf.dummyfunction("""COMPUTED_VALUE"""),6)</f>
        <v>6</v>
      </c>
      <c r="W56" s="89"/>
      <c r="X56" s="89" t="n">
        <f aca="false">IFERROR(__xludf.dummyfunction("""COMPUTED_VALUE"""),28)</f>
        <v>28</v>
      </c>
      <c r="Y56" s="89" t="n">
        <f aca="false">IFERROR(__xludf.dummyfunction("""COMPUTED_VALUE"""),60)</f>
        <v>60</v>
      </c>
    </row>
    <row r="57" customFormat="false" ht="17.9" hidden="false" customHeight="false" outlineLevel="0" collapsed="false">
      <c r="A57" s="85" t="n">
        <v>56</v>
      </c>
      <c r="B57" s="85" t="n">
        <v>465544</v>
      </c>
      <c r="C57" s="86" t="s">
        <v>154</v>
      </c>
      <c r="D57" s="87" t="s">
        <v>146</v>
      </c>
      <c r="E57" s="88" t="str">
        <f aca="false">D57</f>
        <v>P3113</v>
      </c>
      <c r="F57" s="88" t="str">
        <f aca="false">REPLACE(E57, 1, 3, "")</f>
        <v>13</v>
      </c>
      <c r="G57" s="89" t="n">
        <f aca="true">IFERROR(VLOOKUP(B57,INDIRECT("'"&amp;$F57&amp;"'!D3:D"),1,FALSE()), "Not found")</f>
        <v>465544</v>
      </c>
      <c r="H57" s="89" t="n">
        <f aca="true">INDIRECT("'"&amp;$F57&amp;"'!D1")</f>
        <v>0</v>
      </c>
      <c r="I57" s="89" t="str">
        <f aca="false">IFERROR(__xludf.dummyfunction("REGEXEXTRACT(ADDRESS(ROW(), 19+$H57), ""[A-Z]+"")"),"S")</f>
        <v>S</v>
      </c>
      <c r="J57" s="89" t="str">
        <f aca="false">IFERROR(__xludf.dummyfunction("REGEXEXTRACT(ADDRESS(ROW(), 25+$H57), ""[A-Z]+"")"),"Y")</f>
        <v>Y</v>
      </c>
      <c r="K57" s="89" t="str">
        <f aca="false">IFERROR(__xludf.dummyfunction("REGEXEXTRACT(ADDRESS(ROW(), 27+$H57), ""[A-Z]+"")"),"AA")</f>
        <v>AA</v>
      </c>
      <c r="L57" s="89" t="str">
        <f aca="false">IFERROR(__xludf.dummyfunction("REGEXEXTRACT(ADDRESS(ROW(), 28+$H57), ""[A-Z]+"")"),"AB")</f>
        <v>AB</v>
      </c>
      <c r="M57" s="89" t="str">
        <f aca="false">IFERROR(__xludf.dummyfunction("REGEXEXTRACT(ADDRESS(ROW(), 34+$H57), ""[A-Z]+"")"),"AH")</f>
        <v>AH</v>
      </c>
      <c r="N57" s="89" t="str">
        <f aca="false">IFERROR(__xludf.dummyfunction("REGEXEXTRACT(ADDRESS(ROW(), 37+$H57), ""[A-Z]+"")"),"AK")</f>
        <v>AK</v>
      </c>
      <c r="O57" s="89" t="str">
        <f aca="false">IFERROR(__xludf.dummyfunction("REGEXEXTRACT(ADDRESS(ROW(), 38+$H57), ""[A-Z]+"")"),"AL")</f>
        <v>AL</v>
      </c>
      <c r="P57" s="89" t="str">
        <f aca="false">IFERROR(__xludf.dummyfunction("REGEXEXTRACT(ADDRESS(ROW(), 39+$H57), ""[A-Z]+"")"),"AM")</f>
        <v>AM</v>
      </c>
      <c r="Q57" s="89" t="str">
        <f aca="false">IFERROR(__xludf.dummyfunction("REGEXEXTRACT(ADDRESS(ROW(), 40+$H57), ""[A-Z]+"")"),"AN")</f>
        <v>AN</v>
      </c>
      <c r="R57" s="89" t="n">
        <f aca="false">IFERROR(__xludf.dummyfunction("IFERROR(QUERY(INDIRECT(""'""&amp;$F57&amp;""'!C3:""&amp;Q57&amp;""""), ""SELECT ""&amp;I57&amp;"", ""&amp;J57&amp;"", ""&amp;K57&amp;"", ""&amp;L57&amp;"", ""&amp;M57&amp;"", ""&amp;N57&amp;"", ""&amp;O57&amp;"", ""&amp;P57&amp;"" WHERE '""&amp;B57&amp;""' CONTAINS D"", 0), """")"),18)</f>
        <v>18</v>
      </c>
      <c r="S57" s="89" t="n">
        <f aca="false">IFERROR(__xludf.dummyfunction("""COMPUTED_VALUE"""),18)</f>
        <v>18</v>
      </c>
      <c r="T57" s="89"/>
      <c r="U57" s="89"/>
      <c r="V57" s="89" t="n">
        <f aca="false">IFERROR(__xludf.dummyfunction("""COMPUTED_VALUE"""),10)</f>
        <v>10</v>
      </c>
      <c r="W57" s="89"/>
      <c r="X57" s="89" t="n">
        <f aca="false">IFERROR(__xludf.dummyfunction("""COMPUTED_VALUE"""),40)</f>
        <v>40</v>
      </c>
      <c r="Y57" s="89" t="n">
        <f aca="false">IFERROR(__xludf.dummyfunction("""COMPUTED_VALUE"""),86)</f>
        <v>86</v>
      </c>
    </row>
    <row r="58" customFormat="false" ht="17.9" hidden="false" customHeight="false" outlineLevel="0" collapsed="false">
      <c r="A58" s="85" t="n">
        <v>57</v>
      </c>
      <c r="B58" s="85" t="n">
        <v>471844</v>
      </c>
      <c r="C58" s="86" t="s">
        <v>155</v>
      </c>
      <c r="D58" s="87" t="s">
        <v>121</v>
      </c>
      <c r="E58" s="88" t="str">
        <f aca="false">D58</f>
        <v>P3120</v>
      </c>
      <c r="F58" s="88" t="str">
        <f aca="false">REPLACE(E58, 1, 3, "")</f>
        <v>20</v>
      </c>
      <c r="G58" s="89" t="str">
        <f aca="true">IFERROR(VLOOKUP(B58,INDIRECT("'"&amp;$F58&amp;"'!D3:D"),1,FALSE()), "Not found")</f>
        <v>Not found</v>
      </c>
      <c r="H58" s="89" t="n">
        <f aca="true">INDIRECT("'"&amp;$F58&amp;"'!D1")</f>
        <v>5</v>
      </c>
      <c r="I58" s="89" t="str">
        <f aca="false">IFERROR(__xludf.dummyfunction("REGEXEXTRACT(ADDRESS(ROW(), 19+$H58), ""[A-Z]+"")"),"X")</f>
        <v>X</v>
      </c>
      <c r="J58" s="89" t="str">
        <f aca="false">IFERROR(__xludf.dummyfunction("REGEXEXTRACT(ADDRESS(ROW(), 25+$H58), ""[A-Z]+"")"),"AD")</f>
        <v>AD</v>
      </c>
      <c r="K58" s="89" t="str">
        <f aca="false">IFERROR(__xludf.dummyfunction("REGEXEXTRACT(ADDRESS(ROW(), 27+$H58), ""[A-Z]+"")"),"AF")</f>
        <v>AF</v>
      </c>
      <c r="L58" s="89" t="str">
        <f aca="false">IFERROR(__xludf.dummyfunction("REGEXEXTRACT(ADDRESS(ROW(), 28+$H58), ""[A-Z]+"")"),"AG")</f>
        <v>AG</v>
      </c>
      <c r="M58" s="89" t="str">
        <f aca="false">IFERROR(__xludf.dummyfunction("REGEXEXTRACT(ADDRESS(ROW(), 34+$H58), ""[A-Z]+"")"),"AM")</f>
        <v>AM</v>
      </c>
      <c r="N58" s="89" t="str">
        <f aca="false">IFERROR(__xludf.dummyfunction("REGEXEXTRACT(ADDRESS(ROW(), 37+$H58), ""[A-Z]+"")"),"AP")</f>
        <v>AP</v>
      </c>
      <c r="O58" s="89" t="str">
        <f aca="false">IFERROR(__xludf.dummyfunction("REGEXEXTRACT(ADDRESS(ROW(), 38+$H58), ""[A-Z]+"")"),"AQ")</f>
        <v>AQ</v>
      </c>
      <c r="P58" s="89" t="str">
        <f aca="false">IFERROR(__xludf.dummyfunction("REGEXEXTRACT(ADDRESS(ROW(), 39+$H58), ""[A-Z]+"")"),"AR")</f>
        <v>AR</v>
      </c>
      <c r="Q58" s="89" t="str">
        <f aca="false">IFERROR(__xludf.dummyfunction("REGEXEXTRACT(ADDRESS(ROW(), 40+$H58), ""[A-Z]+"")"),"AS")</f>
        <v>AS</v>
      </c>
      <c r="R58" s="89" t="n">
        <f aca="false">IFERROR(__xludf.dummyfunction("IFERROR(QUERY(INDIRECT(""'""&amp;$F58&amp;""'!C3:""&amp;Q58&amp;""""), ""SELECT ""&amp;I58&amp;"", ""&amp;J58&amp;"", ""&amp;K58&amp;"", ""&amp;L58&amp;"", ""&amp;M58&amp;"", ""&amp;N58&amp;"", ""&amp;O58&amp;"", ""&amp;P58&amp;"" WHERE '""&amp;B58&amp;""' CONTAINS D"", 0), """")"),13)</f>
        <v>13</v>
      </c>
      <c r="S58" s="89" t="n">
        <f aca="false">IFERROR(__xludf.dummyfunction("""COMPUTED_VALUE"""),12)</f>
        <v>12</v>
      </c>
      <c r="T58" s="89"/>
      <c r="U58" s="89"/>
      <c r="V58" s="89" t="n">
        <f aca="false">IFERROR(__xludf.dummyfunction("""COMPUTED_VALUE"""),6)</f>
        <v>6</v>
      </c>
      <c r="W58" s="89"/>
      <c r="X58" s="89" t="n">
        <f aca="false">IFERROR(__xludf.dummyfunction("""COMPUTED_VALUE"""),30)</f>
        <v>30</v>
      </c>
      <c r="Y58" s="89" t="n">
        <f aca="false">IFERROR(__xludf.dummyfunction("""COMPUTED_VALUE"""),61)</f>
        <v>61</v>
      </c>
    </row>
    <row r="59" customFormat="false" ht="17.9" hidden="false" customHeight="false" outlineLevel="0" collapsed="false">
      <c r="A59" s="85" t="n">
        <v>58</v>
      </c>
      <c r="B59" s="85" t="n">
        <v>465555</v>
      </c>
      <c r="C59" s="86" t="s">
        <v>156</v>
      </c>
      <c r="D59" s="87" t="s">
        <v>157</v>
      </c>
      <c r="E59" s="88" t="str">
        <f aca="false">D59</f>
        <v>P3123</v>
      </c>
      <c r="F59" s="88" t="str">
        <f aca="false">REPLACE(E59, 1, 3, "")</f>
        <v>23</v>
      </c>
      <c r="G59" s="89" t="n">
        <f aca="true">IFERROR(VLOOKUP(B59,INDIRECT("'"&amp;$F59&amp;"'!D3:D"),1,FALSE()), "Not found")</f>
        <v>465555</v>
      </c>
      <c r="H59" s="89" t="n">
        <f aca="true">INDIRECT("'"&amp;$F59&amp;"'!D1")</f>
        <v>1</v>
      </c>
      <c r="I59" s="89" t="str">
        <f aca="false">IFERROR(__xludf.dummyfunction("REGEXEXTRACT(ADDRESS(ROW(), 19+$H59), ""[A-Z]+"")"),"T")</f>
        <v>T</v>
      </c>
      <c r="J59" s="89" t="str">
        <f aca="false">IFERROR(__xludf.dummyfunction("REGEXEXTRACT(ADDRESS(ROW(), 25+$H59), ""[A-Z]+"")"),"Z")</f>
        <v>Z</v>
      </c>
      <c r="K59" s="89" t="str">
        <f aca="false">IFERROR(__xludf.dummyfunction("REGEXEXTRACT(ADDRESS(ROW(), 27+$H59), ""[A-Z]+"")"),"AB")</f>
        <v>AB</v>
      </c>
      <c r="L59" s="89" t="str">
        <f aca="false">IFERROR(__xludf.dummyfunction("REGEXEXTRACT(ADDRESS(ROW(), 28+$H59), ""[A-Z]+"")"),"AC")</f>
        <v>AC</v>
      </c>
      <c r="M59" s="89" t="str">
        <f aca="false">IFERROR(__xludf.dummyfunction("REGEXEXTRACT(ADDRESS(ROW(), 34+$H59), ""[A-Z]+"")"),"AI")</f>
        <v>AI</v>
      </c>
      <c r="N59" s="89" t="str">
        <f aca="false">IFERROR(__xludf.dummyfunction("REGEXEXTRACT(ADDRESS(ROW(), 37+$H59), ""[A-Z]+"")"),"AL")</f>
        <v>AL</v>
      </c>
      <c r="O59" s="89" t="str">
        <f aca="false">IFERROR(__xludf.dummyfunction("REGEXEXTRACT(ADDRESS(ROW(), 38+$H59), ""[A-Z]+"")"),"AM")</f>
        <v>AM</v>
      </c>
      <c r="P59" s="89" t="str">
        <f aca="false">IFERROR(__xludf.dummyfunction("REGEXEXTRACT(ADDRESS(ROW(), 39+$H59), ""[A-Z]+"")"),"AN")</f>
        <v>AN</v>
      </c>
      <c r="Q59" s="89" t="str">
        <f aca="false">IFERROR(__xludf.dummyfunction("REGEXEXTRACT(ADDRESS(ROW(), 40+$H59), ""[A-Z]+"")"),"AO")</f>
        <v>AO</v>
      </c>
      <c r="R59" s="89" t="n">
        <f aca="false">IFERROR(__xludf.dummyfunction("IFERROR(QUERY(INDIRECT(""'""&amp;$F59&amp;""'!C3:""&amp;Q59&amp;""""), ""SELECT ""&amp;I59&amp;"", ""&amp;J59&amp;"", ""&amp;K59&amp;"", ""&amp;L59&amp;"", ""&amp;M59&amp;"", ""&amp;N59&amp;"", ""&amp;O59&amp;"", ""&amp;P59&amp;"" WHERE '""&amp;B59&amp;""' CONTAINS D"", 0), """")"),18.5)</f>
        <v>18.5</v>
      </c>
      <c r="S59" s="89" t="n">
        <f aca="false">IFERROR(__xludf.dummyfunction("""COMPUTED_VALUE"""),13)</f>
        <v>13</v>
      </c>
      <c r="T59" s="89"/>
      <c r="U59" s="89"/>
      <c r="V59" s="89" t="n">
        <f aca="false">IFERROR(__xludf.dummyfunction("""COMPUTED_VALUE"""),6)</f>
        <v>6</v>
      </c>
      <c r="W59" s="89"/>
      <c r="X59" s="89" t="n">
        <f aca="false">IFERROR(__xludf.dummyfunction("""COMPUTED_VALUE"""),30)</f>
        <v>30</v>
      </c>
      <c r="Y59" s="89" t="n">
        <f aca="false">IFERROR(__xludf.dummyfunction("""COMPUTED_VALUE"""),67.5)</f>
        <v>67.5</v>
      </c>
    </row>
    <row r="60" customFormat="false" ht="17.9" hidden="false" customHeight="false" outlineLevel="0" collapsed="false">
      <c r="A60" s="85" t="n">
        <v>59</v>
      </c>
      <c r="B60" s="85" t="n">
        <v>465561</v>
      </c>
      <c r="C60" s="86" t="s">
        <v>158</v>
      </c>
      <c r="D60" s="87" t="s">
        <v>100</v>
      </c>
      <c r="E60" s="88" t="str">
        <f aca="false">D60</f>
        <v>P3112</v>
      </c>
      <c r="F60" s="88" t="str">
        <f aca="false">REPLACE(E60, 1, 3, "")</f>
        <v>12</v>
      </c>
      <c r="G60" s="89" t="str">
        <f aca="true">IFERROR(VLOOKUP(B60,INDIRECT("'"&amp;$F60&amp;"'!D3:D"),1,FALSE()), "Not found")</f>
        <v>Not found</v>
      </c>
      <c r="H60" s="89" t="n">
        <f aca="true">INDIRECT("'"&amp;$F60&amp;"'!D1")</f>
        <v>0</v>
      </c>
      <c r="I60" s="89" t="str">
        <f aca="false">IFERROR(__xludf.dummyfunction("REGEXEXTRACT(ADDRESS(ROW(), 19+$H60), ""[A-Z]+"")"),"S")</f>
        <v>S</v>
      </c>
      <c r="J60" s="89" t="str">
        <f aca="false">IFERROR(__xludf.dummyfunction("REGEXEXTRACT(ADDRESS(ROW(), 25+$H60), ""[A-Z]+"")"),"Y")</f>
        <v>Y</v>
      </c>
      <c r="K60" s="89" t="str">
        <f aca="false">IFERROR(__xludf.dummyfunction("REGEXEXTRACT(ADDRESS(ROW(), 27+$H60), ""[A-Z]+"")"),"AA")</f>
        <v>AA</v>
      </c>
      <c r="L60" s="89" t="str">
        <f aca="false">IFERROR(__xludf.dummyfunction("REGEXEXTRACT(ADDRESS(ROW(), 28+$H60), ""[A-Z]+"")"),"AB")</f>
        <v>AB</v>
      </c>
      <c r="M60" s="89" t="str">
        <f aca="false">IFERROR(__xludf.dummyfunction("REGEXEXTRACT(ADDRESS(ROW(), 34+$H60), ""[A-Z]+"")"),"AH")</f>
        <v>AH</v>
      </c>
      <c r="N60" s="89" t="str">
        <f aca="false">IFERROR(__xludf.dummyfunction("REGEXEXTRACT(ADDRESS(ROW(), 37+$H60), ""[A-Z]+"")"),"AK")</f>
        <v>AK</v>
      </c>
      <c r="O60" s="89" t="str">
        <f aca="false">IFERROR(__xludf.dummyfunction("REGEXEXTRACT(ADDRESS(ROW(), 38+$H60), ""[A-Z]+"")"),"AL")</f>
        <v>AL</v>
      </c>
      <c r="P60" s="89" t="str">
        <f aca="false">IFERROR(__xludf.dummyfunction("REGEXEXTRACT(ADDRESS(ROW(), 39+$H60), ""[A-Z]+"")"),"AM")</f>
        <v>AM</v>
      </c>
      <c r="Q60" s="89" t="str">
        <f aca="false">IFERROR(__xludf.dummyfunction("REGEXEXTRACT(ADDRESS(ROW(), 40+$H60), ""[A-Z]+"")"),"AN")</f>
        <v>AN</v>
      </c>
      <c r="R60" s="89" t="n">
        <f aca="false">IFERROR(__xludf.dummyfunction("IFERROR(QUERY(INDIRECT(""'""&amp;$F60&amp;""'!C3:""&amp;Q60&amp;""""), ""SELECT ""&amp;I60&amp;"", ""&amp;J60&amp;"", ""&amp;K60&amp;"", ""&amp;L60&amp;"", ""&amp;M60&amp;"", ""&amp;N60&amp;"", ""&amp;O60&amp;"", ""&amp;P60&amp;"" WHERE '""&amp;B60&amp;""' CONTAINS D"", 0), """")"),20)</f>
        <v>20</v>
      </c>
      <c r="S60" s="89" t="n">
        <f aca="false">IFERROR(__xludf.dummyfunction("""COMPUTED_VALUE"""),20)</f>
        <v>20</v>
      </c>
      <c r="T60" s="89"/>
      <c r="U60" s="89"/>
      <c r="V60" s="89" t="n">
        <f aca="false">IFERROR(__xludf.dummyfunction("""COMPUTED_VALUE"""),10)</f>
        <v>10</v>
      </c>
      <c r="W60" s="89"/>
      <c r="X60" s="89" t="n">
        <f aca="false">IFERROR(__xludf.dummyfunction("""COMPUTED_VALUE"""),40)</f>
        <v>40</v>
      </c>
      <c r="Y60" s="89" t="n">
        <f aca="false">IFERROR(__xludf.dummyfunction("""COMPUTED_VALUE"""),90)</f>
        <v>90</v>
      </c>
    </row>
    <row r="61" customFormat="false" ht="17.9" hidden="false" customHeight="false" outlineLevel="0" collapsed="false">
      <c r="A61" s="85" t="n">
        <v>60</v>
      </c>
      <c r="B61" s="85" t="n">
        <v>465567</v>
      </c>
      <c r="C61" s="86" t="s">
        <v>159</v>
      </c>
      <c r="D61" s="87" t="s">
        <v>100</v>
      </c>
      <c r="E61" s="88" t="str">
        <f aca="false">D61</f>
        <v>P3112</v>
      </c>
      <c r="F61" s="88" t="str">
        <f aca="false">REPLACE(E61, 1, 3, "")</f>
        <v>12</v>
      </c>
      <c r="G61" s="89" t="str">
        <f aca="true">IFERROR(VLOOKUP(B61,INDIRECT("'"&amp;$F61&amp;"'!D3:D"),1,FALSE()), "Not found")</f>
        <v>Not found</v>
      </c>
      <c r="H61" s="89" t="n">
        <f aca="true">INDIRECT("'"&amp;$F61&amp;"'!D1")</f>
        <v>0</v>
      </c>
      <c r="I61" s="89" t="str">
        <f aca="false">IFERROR(__xludf.dummyfunction("REGEXEXTRACT(ADDRESS(ROW(), 19+$H61), ""[A-Z]+"")"),"S")</f>
        <v>S</v>
      </c>
      <c r="J61" s="89" t="str">
        <f aca="false">IFERROR(__xludf.dummyfunction("REGEXEXTRACT(ADDRESS(ROW(), 25+$H61), ""[A-Z]+"")"),"Y")</f>
        <v>Y</v>
      </c>
      <c r="K61" s="89" t="str">
        <f aca="false">IFERROR(__xludf.dummyfunction("REGEXEXTRACT(ADDRESS(ROW(), 27+$H61), ""[A-Z]+"")"),"AA")</f>
        <v>AA</v>
      </c>
      <c r="L61" s="89" t="str">
        <f aca="false">IFERROR(__xludf.dummyfunction("REGEXEXTRACT(ADDRESS(ROW(), 28+$H61), ""[A-Z]+"")"),"AB")</f>
        <v>AB</v>
      </c>
      <c r="M61" s="89" t="str">
        <f aca="false">IFERROR(__xludf.dummyfunction("REGEXEXTRACT(ADDRESS(ROW(), 34+$H61), ""[A-Z]+"")"),"AH")</f>
        <v>AH</v>
      </c>
      <c r="N61" s="89" t="str">
        <f aca="false">IFERROR(__xludf.dummyfunction("REGEXEXTRACT(ADDRESS(ROW(), 37+$H61), ""[A-Z]+"")"),"AK")</f>
        <v>AK</v>
      </c>
      <c r="O61" s="89" t="str">
        <f aca="false">IFERROR(__xludf.dummyfunction("REGEXEXTRACT(ADDRESS(ROW(), 38+$H61), ""[A-Z]+"")"),"AL")</f>
        <v>AL</v>
      </c>
      <c r="P61" s="89" t="str">
        <f aca="false">IFERROR(__xludf.dummyfunction("REGEXEXTRACT(ADDRESS(ROW(), 39+$H61), ""[A-Z]+"")"),"AM")</f>
        <v>AM</v>
      </c>
      <c r="Q61" s="89" t="str">
        <f aca="false">IFERROR(__xludf.dummyfunction("REGEXEXTRACT(ADDRESS(ROW(), 40+$H61), ""[A-Z]+"")"),"AN")</f>
        <v>AN</v>
      </c>
      <c r="R61" s="89" t="n">
        <f aca="false">IFERROR(__xludf.dummyfunction("IFERROR(QUERY(INDIRECT(""'""&amp;$F61&amp;""'!C3:""&amp;Q61&amp;""""), ""SELECT ""&amp;I61&amp;"", ""&amp;J61&amp;"", ""&amp;K61&amp;"", ""&amp;L61&amp;"", ""&amp;M61&amp;"", ""&amp;N61&amp;"", ""&amp;O61&amp;"", ""&amp;P61&amp;"" WHERE '""&amp;B61&amp;""' CONTAINS D"", 0), """")"),17.5)</f>
        <v>17.5</v>
      </c>
      <c r="S61" s="89" t="n">
        <f aca="false">IFERROR(__xludf.dummyfunction("""COMPUTED_VALUE"""),19)</f>
        <v>19</v>
      </c>
      <c r="T61" s="89"/>
      <c r="U61" s="89"/>
      <c r="V61" s="89" t="n">
        <f aca="false">IFERROR(__xludf.dummyfunction("""COMPUTED_VALUE"""),10)</f>
        <v>10</v>
      </c>
      <c r="W61" s="89"/>
      <c r="X61" s="89" t="n">
        <f aca="false">IFERROR(__xludf.dummyfunction("""COMPUTED_VALUE"""),40)</f>
        <v>40</v>
      </c>
      <c r="Y61" s="89" t="n">
        <f aca="false">IFERROR(__xludf.dummyfunction("""COMPUTED_VALUE"""),86.5)</f>
        <v>86.5</v>
      </c>
    </row>
    <row r="62" customFormat="false" ht="17.9" hidden="false" customHeight="false" outlineLevel="0" collapsed="false">
      <c r="A62" s="85" t="n">
        <v>61</v>
      </c>
      <c r="B62" s="85" t="n">
        <v>471848</v>
      </c>
      <c r="C62" s="86" t="s">
        <v>160</v>
      </c>
      <c r="D62" s="87" t="s">
        <v>102</v>
      </c>
      <c r="E62" s="88" t="str">
        <f aca="false">D62</f>
        <v>P3110</v>
      </c>
      <c r="F62" s="88" t="str">
        <f aca="false">REPLACE(E62, 1, 3, "")</f>
        <v>10</v>
      </c>
      <c r="G62" s="89" t="str">
        <f aca="true">IFERROR(VLOOKUP(B62,INDIRECT("'"&amp;$F62&amp;"'!D3:D"),1,FALSE()), "Not found")</f>
        <v>Not found</v>
      </c>
      <c r="H62" s="89" t="n">
        <f aca="true">INDIRECT("'"&amp;$F62&amp;"'!D1")</f>
        <v>0</v>
      </c>
      <c r="I62" s="89" t="str">
        <f aca="false">IFERROR(__xludf.dummyfunction("REGEXEXTRACT(ADDRESS(ROW(), 19+$H62), ""[A-Z]+"")"),"S")</f>
        <v>S</v>
      </c>
      <c r="J62" s="89" t="str">
        <f aca="false">IFERROR(__xludf.dummyfunction("REGEXEXTRACT(ADDRESS(ROW(), 25+$H62), ""[A-Z]+"")"),"Y")</f>
        <v>Y</v>
      </c>
      <c r="K62" s="89" t="str">
        <f aca="false">IFERROR(__xludf.dummyfunction("REGEXEXTRACT(ADDRESS(ROW(), 27+$H62), ""[A-Z]+"")"),"AA")</f>
        <v>AA</v>
      </c>
      <c r="L62" s="89" t="str">
        <f aca="false">IFERROR(__xludf.dummyfunction("REGEXEXTRACT(ADDRESS(ROW(), 28+$H62), ""[A-Z]+"")"),"AB")</f>
        <v>AB</v>
      </c>
      <c r="M62" s="89" t="str">
        <f aca="false">IFERROR(__xludf.dummyfunction("REGEXEXTRACT(ADDRESS(ROW(), 34+$H62), ""[A-Z]+"")"),"AH")</f>
        <v>AH</v>
      </c>
      <c r="N62" s="89" t="str">
        <f aca="false">IFERROR(__xludf.dummyfunction("REGEXEXTRACT(ADDRESS(ROW(), 37+$H62), ""[A-Z]+"")"),"AK")</f>
        <v>AK</v>
      </c>
      <c r="O62" s="89" t="str">
        <f aca="false">IFERROR(__xludf.dummyfunction("REGEXEXTRACT(ADDRESS(ROW(), 38+$H62), ""[A-Z]+"")"),"AL")</f>
        <v>AL</v>
      </c>
      <c r="P62" s="89" t="str">
        <f aca="false">IFERROR(__xludf.dummyfunction("REGEXEXTRACT(ADDRESS(ROW(), 39+$H62), ""[A-Z]+"")"),"AM")</f>
        <v>AM</v>
      </c>
      <c r="Q62" s="89" t="str">
        <f aca="false">IFERROR(__xludf.dummyfunction("REGEXEXTRACT(ADDRESS(ROW(), 40+$H62), ""[A-Z]+"")"),"AN")</f>
        <v>AN</v>
      </c>
      <c r="R62" s="89" t="n">
        <f aca="false">IFERROR(__xludf.dummyfunction("IFERROR(QUERY(INDIRECT(""'""&amp;$F62&amp;""'!C3:""&amp;Q62&amp;""""), ""SELECT ""&amp;I62&amp;"", ""&amp;J62&amp;"", ""&amp;K62&amp;"", ""&amp;L62&amp;"", ""&amp;M62&amp;"", ""&amp;N62&amp;"", ""&amp;O62&amp;"", ""&amp;P62&amp;"" WHERE '""&amp;B62&amp;""' CONTAINS D"", 0), """")"),18)</f>
        <v>18</v>
      </c>
      <c r="S62" s="89" t="n">
        <f aca="false">IFERROR(__xludf.dummyfunction("""COMPUTED_VALUE"""),16)</f>
        <v>16</v>
      </c>
      <c r="T62" s="89"/>
      <c r="U62" s="89"/>
      <c r="V62" s="89" t="n">
        <f aca="false">IFERROR(__xludf.dummyfunction("""COMPUTED_VALUE"""),6)</f>
        <v>6</v>
      </c>
      <c r="W62" s="89"/>
      <c r="X62" s="89" t="n">
        <f aca="false">IFERROR(__xludf.dummyfunction("""COMPUTED_VALUE"""),30)</f>
        <v>30</v>
      </c>
      <c r="Y62" s="89" t="n">
        <f aca="false">IFERROR(__xludf.dummyfunction("""COMPUTED_VALUE"""),70)</f>
        <v>70</v>
      </c>
    </row>
    <row r="63" customFormat="false" ht="17.9" hidden="false" customHeight="false" outlineLevel="0" collapsed="false">
      <c r="A63" s="85" t="n">
        <v>62</v>
      </c>
      <c r="B63" s="85" t="n">
        <v>465591</v>
      </c>
      <c r="C63" s="86" t="s">
        <v>161</v>
      </c>
      <c r="D63" s="87" t="s">
        <v>91</v>
      </c>
      <c r="E63" s="88" t="str">
        <f aca="false">D63</f>
        <v>P3111</v>
      </c>
      <c r="F63" s="88" t="str">
        <f aca="false">REPLACE(E63, 1, 3, "")</f>
        <v>11</v>
      </c>
      <c r="G63" s="89" t="str">
        <f aca="true">IFERROR(VLOOKUP(B63,INDIRECT("'"&amp;$F63&amp;"'!D3:D"),1,FALSE()), "Not found")</f>
        <v>Not found</v>
      </c>
      <c r="H63" s="89" t="n">
        <f aca="true">INDIRECT("'"&amp;$F63&amp;"'!D1")</f>
        <v>0</v>
      </c>
      <c r="I63" s="89" t="str">
        <f aca="false">IFERROR(__xludf.dummyfunction("REGEXEXTRACT(ADDRESS(ROW(), 19+$H63), ""[A-Z]+"")"),"S")</f>
        <v>S</v>
      </c>
      <c r="J63" s="89" t="str">
        <f aca="false">IFERROR(__xludf.dummyfunction("REGEXEXTRACT(ADDRESS(ROW(), 25+$H63), ""[A-Z]+"")"),"Y")</f>
        <v>Y</v>
      </c>
      <c r="K63" s="89" t="str">
        <f aca="false">IFERROR(__xludf.dummyfunction("REGEXEXTRACT(ADDRESS(ROW(), 27+$H63), ""[A-Z]+"")"),"AA")</f>
        <v>AA</v>
      </c>
      <c r="L63" s="89" t="str">
        <f aca="false">IFERROR(__xludf.dummyfunction("REGEXEXTRACT(ADDRESS(ROW(), 28+$H63), ""[A-Z]+"")"),"AB")</f>
        <v>AB</v>
      </c>
      <c r="M63" s="89" t="str">
        <f aca="false">IFERROR(__xludf.dummyfunction("REGEXEXTRACT(ADDRESS(ROW(), 34+$H63), ""[A-Z]+"")"),"AH")</f>
        <v>AH</v>
      </c>
      <c r="N63" s="89" t="str">
        <f aca="false">IFERROR(__xludf.dummyfunction("REGEXEXTRACT(ADDRESS(ROW(), 37+$H63), ""[A-Z]+"")"),"AK")</f>
        <v>AK</v>
      </c>
      <c r="O63" s="89" t="str">
        <f aca="false">IFERROR(__xludf.dummyfunction("REGEXEXTRACT(ADDRESS(ROW(), 38+$H63), ""[A-Z]+"")"),"AL")</f>
        <v>AL</v>
      </c>
      <c r="P63" s="89" t="str">
        <f aca="false">IFERROR(__xludf.dummyfunction("REGEXEXTRACT(ADDRESS(ROW(), 39+$H63), ""[A-Z]+"")"),"AM")</f>
        <v>AM</v>
      </c>
      <c r="Q63" s="89" t="str">
        <f aca="false">IFERROR(__xludf.dummyfunction("REGEXEXTRACT(ADDRESS(ROW(), 40+$H63), ""[A-Z]+"")"),"AN")</f>
        <v>AN</v>
      </c>
      <c r="R63" s="89" t="n">
        <f aca="false">IFERROR(__xludf.dummyfunction("IFERROR(QUERY(INDIRECT(""'""&amp;$F63&amp;""'!C3:""&amp;Q63&amp;""""), ""SELECT ""&amp;I63&amp;"", ""&amp;J63&amp;"", ""&amp;K63&amp;"", ""&amp;L63&amp;"", ""&amp;M63&amp;"", ""&amp;N63&amp;"", ""&amp;O63&amp;"", ""&amp;P63&amp;"" WHERE '""&amp;B63&amp;""' CONTAINS D"", 0), """")"),19)</f>
        <v>19</v>
      </c>
      <c r="S63" s="89" t="n">
        <f aca="false">IFERROR(__xludf.dummyfunction("""COMPUTED_VALUE"""),19)</f>
        <v>19</v>
      </c>
      <c r="T63" s="89"/>
      <c r="U63" s="89"/>
      <c r="V63" s="89" t="n">
        <f aca="false">IFERROR(__xludf.dummyfunction("""COMPUTED_VALUE"""),9)</f>
        <v>9</v>
      </c>
      <c r="W63" s="89"/>
      <c r="X63" s="89" t="n">
        <f aca="false">IFERROR(__xludf.dummyfunction("""COMPUTED_VALUE"""),40)</f>
        <v>40</v>
      </c>
      <c r="Y63" s="89" t="n">
        <f aca="false">IFERROR(__xludf.dummyfunction("""COMPUTED_VALUE"""),87)</f>
        <v>87</v>
      </c>
    </row>
    <row r="64" customFormat="false" ht="17.9" hidden="false" customHeight="false" outlineLevel="0" collapsed="false">
      <c r="A64" s="85" t="n">
        <v>63</v>
      </c>
      <c r="B64" s="85" t="n">
        <v>465592</v>
      </c>
      <c r="C64" s="86" t="s">
        <v>162</v>
      </c>
      <c r="D64" s="87" t="s">
        <v>81</v>
      </c>
      <c r="E64" s="88" t="str">
        <f aca="false">D64</f>
        <v>P3108</v>
      </c>
      <c r="F64" s="88" t="str">
        <f aca="false">REPLACE(E64, 1, 3, "")</f>
        <v>08</v>
      </c>
      <c r="G64" s="89" t="str">
        <f aca="true">IFERROR(VLOOKUP(B64,INDIRECT("'"&amp;$F64&amp;"'!D3:D"),1,FALSE()), "Not found")</f>
        <v>Not found</v>
      </c>
      <c r="H64" s="89" t="n">
        <f aca="true">INDIRECT("'"&amp;$F64&amp;"'!D1")</f>
        <v>0</v>
      </c>
      <c r="I64" s="89" t="str">
        <f aca="false">IFERROR(__xludf.dummyfunction("REGEXEXTRACT(ADDRESS(ROW(), 19+$H64), ""[A-Z]+"")"),"S")</f>
        <v>S</v>
      </c>
      <c r="J64" s="89" t="str">
        <f aca="false">IFERROR(__xludf.dummyfunction("REGEXEXTRACT(ADDRESS(ROW(), 25+$H64), ""[A-Z]+"")"),"Y")</f>
        <v>Y</v>
      </c>
      <c r="K64" s="89" t="str">
        <f aca="false">IFERROR(__xludf.dummyfunction("REGEXEXTRACT(ADDRESS(ROW(), 27+$H64), ""[A-Z]+"")"),"AA")</f>
        <v>AA</v>
      </c>
      <c r="L64" s="89" t="str">
        <f aca="false">IFERROR(__xludf.dummyfunction("REGEXEXTRACT(ADDRESS(ROW(), 28+$H64), ""[A-Z]+"")"),"AB")</f>
        <v>AB</v>
      </c>
      <c r="M64" s="89" t="str">
        <f aca="false">IFERROR(__xludf.dummyfunction("REGEXEXTRACT(ADDRESS(ROW(), 34+$H64), ""[A-Z]+"")"),"AH")</f>
        <v>AH</v>
      </c>
      <c r="N64" s="89" t="str">
        <f aca="false">IFERROR(__xludf.dummyfunction("REGEXEXTRACT(ADDRESS(ROW(), 37+$H64), ""[A-Z]+"")"),"AK")</f>
        <v>AK</v>
      </c>
      <c r="O64" s="89" t="str">
        <f aca="false">IFERROR(__xludf.dummyfunction("REGEXEXTRACT(ADDRESS(ROW(), 38+$H64), ""[A-Z]+"")"),"AL")</f>
        <v>AL</v>
      </c>
      <c r="P64" s="89" t="str">
        <f aca="false">IFERROR(__xludf.dummyfunction("REGEXEXTRACT(ADDRESS(ROW(), 39+$H64), ""[A-Z]+"")"),"AM")</f>
        <v>AM</v>
      </c>
      <c r="Q64" s="89" t="str">
        <f aca="false">IFERROR(__xludf.dummyfunction("REGEXEXTRACT(ADDRESS(ROW(), 40+$H64), ""[A-Z]+"")"),"AN")</f>
        <v>AN</v>
      </c>
      <c r="R64" s="89" t="n">
        <f aca="false">IFERROR(__xludf.dummyfunction("IFERROR(QUERY(INDIRECT(""'""&amp;$F64&amp;""'!C3:""&amp;Q64&amp;""""), ""SELECT ""&amp;I64&amp;"", ""&amp;J64&amp;"", ""&amp;K64&amp;"", ""&amp;L64&amp;"", ""&amp;M64&amp;"", ""&amp;N64&amp;"", ""&amp;O64&amp;"", ""&amp;P64&amp;"" WHERE '""&amp;B64&amp;""' CONTAINS D"", 0), """")"),20)</f>
        <v>20</v>
      </c>
      <c r="S64" s="89" t="n">
        <f aca="false">IFERROR(__xludf.dummyfunction("""COMPUTED_VALUE"""),20)</f>
        <v>20</v>
      </c>
      <c r="T64" s="89"/>
      <c r="U64" s="89"/>
      <c r="V64" s="89" t="n">
        <f aca="false">IFERROR(__xludf.dummyfunction("""COMPUTED_VALUE"""),10)</f>
        <v>10</v>
      </c>
      <c r="W64" s="89"/>
      <c r="X64" s="89" t="n">
        <f aca="false">IFERROR(__xludf.dummyfunction("""COMPUTED_VALUE"""),40)</f>
        <v>40</v>
      </c>
      <c r="Y64" s="89" t="n">
        <f aca="false">IFERROR(__xludf.dummyfunction("""COMPUTED_VALUE"""),90)</f>
        <v>90</v>
      </c>
    </row>
    <row r="65" customFormat="false" ht="17.9" hidden="false" customHeight="false" outlineLevel="0" collapsed="false">
      <c r="A65" s="85" t="n">
        <v>64</v>
      </c>
      <c r="B65" s="85" t="n">
        <v>465601</v>
      </c>
      <c r="C65" s="86" t="s">
        <v>163</v>
      </c>
      <c r="D65" s="87" t="s">
        <v>85</v>
      </c>
      <c r="E65" s="88" t="str">
        <f aca="false">D65</f>
        <v>P3132</v>
      </c>
      <c r="F65" s="88" t="str">
        <f aca="false">REPLACE(E65, 1, 3, "")</f>
        <v>32</v>
      </c>
      <c r="G65" s="89" t="str">
        <f aca="true">IFERROR(VLOOKUP(B65,INDIRECT("'"&amp;$F65&amp;"'!D3:D"),1,FALSE()), "Not found")</f>
        <v>Not found</v>
      </c>
      <c r="H65" s="89" t="n">
        <f aca="true">INDIRECT("'"&amp;$F65&amp;"'!D1")</f>
        <v>0</v>
      </c>
      <c r="I65" s="89" t="str">
        <f aca="false">IFERROR(__xludf.dummyfunction("REGEXEXTRACT(ADDRESS(ROW(), 19+$H65), ""[A-Z]+"")"),"S")</f>
        <v>S</v>
      </c>
      <c r="J65" s="89" t="str">
        <f aca="false">IFERROR(__xludf.dummyfunction("REGEXEXTRACT(ADDRESS(ROW(), 25+$H65), ""[A-Z]+"")"),"Y")</f>
        <v>Y</v>
      </c>
      <c r="K65" s="89" t="str">
        <f aca="false">IFERROR(__xludf.dummyfunction("REGEXEXTRACT(ADDRESS(ROW(), 27+$H65), ""[A-Z]+"")"),"AA")</f>
        <v>AA</v>
      </c>
      <c r="L65" s="89" t="str">
        <f aca="false">IFERROR(__xludf.dummyfunction("REGEXEXTRACT(ADDRESS(ROW(), 28+$H65), ""[A-Z]+"")"),"AB")</f>
        <v>AB</v>
      </c>
      <c r="M65" s="89" t="str">
        <f aca="false">IFERROR(__xludf.dummyfunction("REGEXEXTRACT(ADDRESS(ROW(), 34+$H65), ""[A-Z]+"")"),"AH")</f>
        <v>AH</v>
      </c>
      <c r="N65" s="89" t="str">
        <f aca="false">IFERROR(__xludf.dummyfunction("REGEXEXTRACT(ADDRESS(ROW(), 37+$H65), ""[A-Z]+"")"),"AK")</f>
        <v>AK</v>
      </c>
      <c r="O65" s="89" t="str">
        <f aca="false">IFERROR(__xludf.dummyfunction("REGEXEXTRACT(ADDRESS(ROW(), 38+$H65), ""[A-Z]+"")"),"AL")</f>
        <v>AL</v>
      </c>
      <c r="P65" s="89" t="str">
        <f aca="false">IFERROR(__xludf.dummyfunction("REGEXEXTRACT(ADDRESS(ROW(), 39+$H65), ""[A-Z]+"")"),"AM")</f>
        <v>AM</v>
      </c>
      <c r="Q65" s="89" t="str">
        <f aca="false">IFERROR(__xludf.dummyfunction("REGEXEXTRACT(ADDRESS(ROW(), 40+$H65), ""[A-Z]+"")"),"AN")</f>
        <v>AN</v>
      </c>
      <c r="R65" s="89" t="n">
        <f aca="false">IFERROR(__xludf.dummyfunction("IFERROR(QUERY(INDIRECT(""'""&amp;$F65&amp;""'!C3:""&amp;Q65&amp;""""), ""SELECT ""&amp;I65&amp;"", ""&amp;J65&amp;"", ""&amp;K65&amp;"", ""&amp;L65&amp;"", ""&amp;M65&amp;"", ""&amp;N65&amp;"", ""&amp;O65&amp;"", ""&amp;P65&amp;"" WHERE '""&amp;B65&amp;""' CONTAINS D"", 0), """")"),18)</f>
        <v>18</v>
      </c>
      <c r="S65" s="89" t="n">
        <f aca="false">IFERROR(__xludf.dummyfunction("""COMPUTED_VALUE"""),15)</f>
        <v>15</v>
      </c>
      <c r="T65" s="89"/>
      <c r="U65" s="89"/>
      <c r="V65" s="89" t="n">
        <f aca="false">IFERROR(__xludf.dummyfunction("""COMPUTED_VALUE"""),6)</f>
        <v>6</v>
      </c>
      <c r="W65" s="89"/>
      <c r="X65" s="89" t="n">
        <f aca="false">IFERROR(__xludf.dummyfunction("""COMPUTED_VALUE"""),24)</f>
        <v>24</v>
      </c>
      <c r="Y65" s="89" t="n">
        <f aca="false">IFERROR(__xludf.dummyfunction("""COMPUTED_VALUE"""),63)</f>
        <v>63</v>
      </c>
    </row>
    <row r="66" customFormat="false" ht="17.9" hidden="false" customHeight="false" outlineLevel="0" collapsed="false">
      <c r="A66" s="85" t="n">
        <v>65</v>
      </c>
      <c r="B66" s="85" t="n">
        <v>465602</v>
      </c>
      <c r="C66" s="86" t="s">
        <v>164</v>
      </c>
      <c r="D66" s="87" t="s">
        <v>85</v>
      </c>
      <c r="E66" s="88" t="str">
        <f aca="false">D66</f>
        <v>P3132</v>
      </c>
      <c r="F66" s="88" t="str">
        <f aca="false">REPLACE(E66, 1, 3, "")</f>
        <v>32</v>
      </c>
      <c r="G66" s="89" t="str">
        <f aca="true">IFERROR(VLOOKUP(B66,INDIRECT("'"&amp;$F66&amp;"'!D3:D"),1,FALSE()), "Not found")</f>
        <v>Not found</v>
      </c>
      <c r="H66" s="89" t="n">
        <f aca="true">INDIRECT("'"&amp;$F66&amp;"'!D1")</f>
        <v>0</v>
      </c>
      <c r="I66" s="89" t="str">
        <f aca="false">IFERROR(__xludf.dummyfunction("REGEXEXTRACT(ADDRESS(ROW(), 19+$H66), ""[A-Z]+"")"),"S")</f>
        <v>S</v>
      </c>
      <c r="J66" s="89" t="str">
        <f aca="false">IFERROR(__xludf.dummyfunction("REGEXEXTRACT(ADDRESS(ROW(), 25+$H66), ""[A-Z]+"")"),"Y")</f>
        <v>Y</v>
      </c>
      <c r="K66" s="89" t="str">
        <f aca="false">IFERROR(__xludf.dummyfunction("REGEXEXTRACT(ADDRESS(ROW(), 27+$H66), ""[A-Z]+"")"),"AA")</f>
        <v>AA</v>
      </c>
      <c r="L66" s="89" t="str">
        <f aca="false">IFERROR(__xludf.dummyfunction("REGEXEXTRACT(ADDRESS(ROW(), 28+$H66), ""[A-Z]+"")"),"AB")</f>
        <v>AB</v>
      </c>
      <c r="M66" s="89" t="str">
        <f aca="false">IFERROR(__xludf.dummyfunction("REGEXEXTRACT(ADDRESS(ROW(), 34+$H66), ""[A-Z]+"")"),"AH")</f>
        <v>AH</v>
      </c>
      <c r="N66" s="89" t="str">
        <f aca="false">IFERROR(__xludf.dummyfunction("REGEXEXTRACT(ADDRESS(ROW(), 37+$H66), ""[A-Z]+"")"),"AK")</f>
        <v>AK</v>
      </c>
      <c r="O66" s="89" t="str">
        <f aca="false">IFERROR(__xludf.dummyfunction("REGEXEXTRACT(ADDRESS(ROW(), 38+$H66), ""[A-Z]+"")"),"AL")</f>
        <v>AL</v>
      </c>
      <c r="P66" s="89" t="str">
        <f aca="false">IFERROR(__xludf.dummyfunction("REGEXEXTRACT(ADDRESS(ROW(), 39+$H66), ""[A-Z]+"")"),"AM")</f>
        <v>AM</v>
      </c>
      <c r="Q66" s="89" t="str">
        <f aca="false">IFERROR(__xludf.dummyfunction("REGEXEXTRACT(ADDRESS(ROW(), 40+$H66), ""[A-Z]+"")"),"AN")</f>
        <v>AN</v>
      </c>
      <c r="R66" s="89" t="n">
        <f aca="false">IFERROR(__xludf.dummyfunction("IFERROR(QUERY(INDIRECT(""'""&amp;$F66&amp;""'!C3:""&amp;Q66&amp;""""), ""SELECT ""&amp;I66&amp;"", ""&amp;J66&amp;"", ""&amp;K66&amp;"", ""&amp;L66&amp;"", ""&amp;M66&amp;"", ""&amp;N66&amp;"", ""&amp;O66&amp;"", ""&amp;P66&amp;"" WHERE '""&amp;B66&amp;""' CONTAINS D"", 0), """")"),17)</f>
        <v>17</v>
      </c>
      <c r="S66" s="89" t="n">
        <f aca="false">IFERROR(__xludf.dummyfunction("""COMPUTED_VALUE"""),16)</f>
        <v>16</v>
      </c>
      <c r="T66" s="89"/>
      <c r="U66" s="89"/>
      <c r="V66" s="89" t="n">
        <f aca="false">IFERROR(__xludf.dummyfunction("""COMPUTED_VALUE"""),6)</f>
        <v>6</v>
      </c>
      <c r="W66" s="89"/>
      <c r="X66" s="89" t="n">
        <f aca="false">IFERROR(__xludf.dummyfunction("""COMPUTED_VALUE"""),24)</f>
        <v>24</v>
      </c>
      <c r="Y66" s="89" t="n">
        <f aca="false">IFERROR(__xludf.dummyfunction("""COMPUTED_VALUE"""),63)</f>
        <v>63</v>
      </c>
    </row>
    <row r="67" customFormat="false" ht="17.9" hidden="false" customHeight="false" outlineLevel="0" collapsed="false">
      <c r="A67" s="85" t="n">
        <v>66</v>
      </c>
      <c r="B67" s="85" t="n">
        <v>471855</v>
      </c>
      <c r="C67" s="86" t="s">
        <v>165</v>
      </c>
      <c r="D67" s="87" t="s">
        <v>85</v>
      </c>
      <c r="E67" s="88" t="str">
        <f aca="false">D67</f>
        <v>P3132</v>
      </c>
      <c r="F67" s="88" t="str">
        <f aca="false">REPLACE(E67, 1, 3, "")</f>
        <v>32</v>
      </c>
      <c r="G67" s="89" t="str">
        <f aca="true">IFERROR(VLOOKUP(B67,INDIRECT("'"&amp;$F67&amp;"'!D3:D"),1,FALSE()), "Not found")</f>
        <v>Not found</v>
      </c>
      <c r="H67" s="89" t="n">
        <f aca="true">INDIRECT("'"&amp;$F67&amp;"'!D1")</f>
        <v>0</v>
      </c>
      <c r="I67" s="89" t="str">
        <f aca="false">IFERROR(__xludf.dummyfunction("REGEXEXTRACT(ADDRESS(ROW(), 19+$H67), ""[A-Z]+"")"),"S")</f>
        <v>S</v>
      </c>
      <c r="J67" s="89" t="str">
        <f aca="false">IFERROR(__xludf.dummyfunction("REGEXEXTRACT(ADDRESS(ROW(), 25+$H67), ""[A-Z]+"")"),"Y")</f>
        <v>Y</v>
      </c>
      <c r="K67" s="89" t="str">
        <f aca="false">IFERROR(__xludf.dummyfunction("REGEXEXTRACT(ADDRESS(ROW(), 27+$H67), ""[A-Z]+"")"),"AA")</f>
        <v>AA</v>
      </c>
      <c r="L67" s="89" t="str">
        <f aca="false">IFERROR(__xludf.dummyfunction("REGEXEXTRACT(ADDRESS(ROW(), 28+$H67), ""[A-Z]+"")"),"AB")</f>
        <v>AB</v>
      </c>
      <c r="M67" s="89" t="str">
        <f aca="false">IFERROR(__xludf.dummyfunction("REGEXEXTRACT(ADDRESS(ROW(), 34+$H67), ""[A-Z]+"")"),"AH")</f>
        <v>AH</v>
      </c>
      <c r="N67" s="89" t="str">
        <f aca="false">IFERROR(__xludf.dummyfunction("REGEXEXTRACT(ADDRESS(ROW(), 37+$H67), ""[A-Z]+"")"),"AK")</f>
        <v>AK</v>
      </c>
      <c r="O67" s="89" t="str">
        <f aca="false">IFERROR(__xludf.dummyfunction("REGEXEXTRACT(ADDRESS(ROW(), 38+$H67), ""[A-Z]+"")"),"AL")</f>
        <v>AL</v>
      </c>
      <c r="P67" s="89" t="str">
        <f aca="false">IFERROR(__xludf.dummyfunction("REGEXEXTRACT(ADDRESS(ROW(), 39+$H67), ""[A-Z]+"")"),"AM")</f>
        <v>AM</v>
      </c>
      <c r="Q67" s="89" t="str">
        <f aca="false">IFERROR(__xludf.dummyfunction("REGEXEXTRACT(ADDRESS(ROW(), 40+$H67), ""[A-Z]+"")"),"AN")</f>
        <v>AN</v>
      </c>
      <c r="R67" s="89" t="n">
        <f aca="false">IFERROR(__xludf.dummyfunction("IFERROR(QUERY(INDIRECT(""'""&amp;$F67&amp;""'!C3:""&amp;Q67&amp;""""), ""SELECT ""&amp;I67&amp;"", ""&amp;J67&amp;"", ""&amp;K67&amp;"", ""&amp;L67&amp;"", ""&amp;M67&amp;"", ""&amp;N67&amp;"", ""&amp;O67&amp;"", ""&amp;P67&amp;"" WHERE '""&amp;B67&amp;""' CONTAINS D"", 0), """")"),17)</f>
        <v>17</v>
      </c>
      <c r="S67" s="89" t="n">
        <f aca="false">IFERROR(__xludf.dummyfunction("""COMPUTED_VALUE"""),16)</f>
        <v>16</v>
      </c>
      <c r="T67" s="89"/>
      <c r="U67" s="89"/>
      <c r="V67" s="89" t="n">
        <f aca="false">IFERROR(__xludf.dummyfunction("""COMPUTED_VALUE"""),6)</f>
        <v>6</v>
      </c>
      <c r="W67" s="89"/>
      <c r="X67" s="89" t="n">
        <f aca="false">IFERROR(__xludf.dummyfunction("""COMPUTED_VALUE"""),28)</f>
        <v>28</v>
      </c>
      <c r="Y67" s="89" t="n">
        <f aca="false">IFERROR(__xludf.dummyfunction("""COMPUTED_VALUE"""),67)</f>
        <v>67</v>
      </c>
    </row>
    <row r="68" customFormat="false" ht="17.9" hidden="false" customHeight="false" outlineLevel="0" collapsed="false">
      <c r="A68" s="85" t="n">
        <v>67</v>
      </c>
      <c r="B68" s="85" t="n">
        <v>465635</v>
      </c>
      <c r="C68" s="86" t="s">
        <v>166</v>
      </c>
      <c r="D68" s="87" t="s">
        <v>117</v>
      </c>
      <c r="E68" s="88" t="str">
        <f aca="false">D68</f>
        <v>P3116</v>
      </c>
      <c r="F68" s="88" t="str">
        <f aca="false">REPLACE(E68, 1, 3, "")</f>
        <v>16</v>
      </c>
      <c r="G68" s="89" t="str">
        <f aca="true">IFERROR(VLOOKUP(B68,INDIRECT("'"&amp;$F68&amp;"'!D3:D"),1,FALSE()), "Not found")</f>
        <v>Not found</v>
      </c>
      <c r="H68" s="89" t="n">
        <f aca="true">INDIRECT("'"&amp;$F68&amp;"'!D1")</f>
        <v>0</v>
      </c>
      <c r="I68" s="89" t="str">
        <f aca="false">IFERROR(__xludf.dummyfunction("REGEXEXTRACT(ADDRESS(ROW(), 19+$H68), ""[A-Z]+"")"),"S")</f>
        <v>S</v>
      </c>
      <c r="J68" s="89" t="str">
        <f aca="false">IFERROR(__xludf.dummyfunction("REGEXEXTRACT(ADDRESS(ROW(), 25+$H68), ""[A-Z]+"")"),"Y")</f>
        <v>Y</v>
      </c>
      <c r="K68" s="89" t="str">
        <f aca="false">IFERROR(__xludf.dummyfunction("REGEXEXTRACT(ADDRESS(ROW(), 27+$H68), ""[A-Z]+"")"),"AA")</f>
        <v>AA</v>
      </c>
      <c r="L68" s="89" t="str">
        <f aca="false">IFERROR(__xludf.dummyfunction("REGEXEXTRACT(ADDRESS(ROW(), 28+$H68), ""[A-Z]+"")"),"AB")</f>
        <v>AB</v>
      </c>
      <c r="M68" s="89" t="str">
        <f aca="false">IFERROR(__xludf.dummyfunction("REGEXEXTRACT(ADDRESS(ROW(), 34+$H68), ""[A-Z]+"")"),"AH")</f>
        <v>AH</v>
      </c>
      <c r="N68" s="89" t="str">
        <f aca="false">IFERROR(__xludf.dummyfunction("REGEXEXTRACT(ADDRESS(ROW(), 37+$H68), ""[A-Z]+"")"),"AK")</f>
        <v>AK</v>
      </c>
      <c r="O68" s="89" t="str">
        <f aca="false">IFERROR(__xludf.dummyfunction("REGEXEXTRACT(ADDRESS(ROW(), 38+$H68), ""[A-Z]+"")"),"AL")</f>
        <v>AL</v>
      </c>
      <c r="P68" s="89" t="str">
        <f aca="false">IFERROR(__xludf.dummyfunction("REGEXEXTRACT(ADDRESS(ROW(), 39+$H68), ""[A-Z]+"")"),"AM")</f>
        <v>AM</v>
      </c>
      <c r="Q68" s="89" t="str">
        <f aca="false">IFERROR(__xludf.dummyfunction("REGEXEXTRACT(ADDRESS(ROW(), 40+$H68), ""[A-Z]+"")"),"AN")</f>
        <v>AN</v>
      </c>
      <c r="R68" s="89" t="n">
        <f aca="false">IFERROR(__xludf.dummyfunction("IFERROR(QUERY(INDIRECT(""'""&amp;$F68&amp;""'!C3:""&amp;Q68&amp;""""), ""SELECT ""&amp;I68&amp;"", ""&amp;J68&amp;"", ""&amp;K68&amp;"", ""&amp;L68&amp;"", ""&amp;M68&amp;"", ""&amp;N68&amp;"", ""&amp;O68&amp;"", ""&amp;P68&amp;"" WHERE '""&amp;B68&amp;""' CONTAINS D"", 0), """")"),18)</f>
        <v>18</v>
      </c>
      <c r="S68" s="89" t="n">
        <f aca="false">IFERROR(__xludf.dummyfunction("""COMPUTED_VALUE"""),19)</f>
        <v>19</v>
      </c>
      <c r="T68" s="89"/>
      <c r="U68" s="89"/>
      <c r="V68" s="89" t="n">
        <f aca="false">IFERROR(__xludf.dummyfunction("""COMPUTED_VALUE"""),8)</f>
        <v>8</v>
      </c>
      <c r="W68" s="89"/>
      <c r="X68" s="89" t="n">
        <f aca="false">IFERROR(__xludf.dummyfunction("""COMPUTED_VALUE"""),35)</f>
        <v>35</v>
      </c>
      <c r="Y68" s="89" t="n">
        <f aca="false">IFERROR(__xludf.dummyfunction("""COMPUTED_VALUE"""),80)</f>
        <v>80</v>
      </c>
    </row>
    <row r="69" customFormat="false" ht="17.9" hidden="false" customHeight="false" outlineLevel="0" collapsed="false">
      <c r="A69" s="85" t="n">
        <v>68</v>
      </c>
      <c r="B69" s="85" t="n">
        <v>465657</v>
      </c>
      <c r="C69" s="86" t="s">
        <v>167</v>
      </c>
      <c r="D69" s="87" t="s">
        <v>91</v>
      </c>
      <c r="E69" s="88" t="str">
        <f aca="false">D69</f>
        <v>P3111</v>
      </c>
      <c r="F69" s="88" t="str">
        <f aca="false">REPLACE(E69, 1, 3, "")</f>
        <v>11</v>
      </c>
      <c r="G69" s="89" t="str">
        <f aca="true">IFERROR(VLOOKUP(B69,INDIRECT("'"&amp;$F69&amp;"'!D3:D"),1,FALSE()), "Not found")</f>
        <v>Not found</v>
      </c>
      <c r="H69" s="89" t="n">
        <f aca="true">INDIRECT("'"&amp;$F69&amp;"'!D1")</f>
        <v>0</v>
      </c>
      <c r="I69" s="89" t="str">
        <f aca="false">IFERROR(__xludf.dummyfunction("REGEXEXTRACT(ADDRESS(ROW(), 19+$H69), ""[A-Z]+"")"),"S")</f>
        <v>S</v>
      </c>
      <c r="J69" s="89" t="str">
        <f aca="false">IFERROR(__xludf.dummyfunction("REGEXEXTRACT(ADDRESS(ROW(), 25+$H69), ""[A-Z]+"")"),"Y")</f>
        <v>Y</v>
      </c>
      <c r="K69" s="89" t="str">
        <f aca="false">IFERROR(__xludf.dummyfunction("REGEXEXTRACT(ADDRESS(ROW(), 27+$H69), ""[A-Z]+"")"),"AA")</f>
        <v>AA</v>
      </c>
      <c r="L69" s="89" t="str">
        <f aca="false">IFERROR(__xludf.dummyfunction("REGEXEXTRACT(ADDRESS(ROW(), 28+$H69), ""[A-Z]+"")"),"AB")</f>
        <v>AB</v>
      </c>
      <c r="M69" s="89" t="str">
        <f aca="false">IFERROR(__xludf.dummyfunction("REGEXEXTRACT(ADDRESS(ROW(), 34+$H69), ""[A-Z]+"")"),"AH")</f>
        <v>AH</v>
      </c>
      <c r="N69" s="89" t="str">
        <f aca="false">IFERROR(__xludf.dummyfunction("REGEXEXTRACT(ADDRESS(ROW(), 37+$H69), ""[A-Z]+"")"),"AK")</f>
        <v>AK</v>
      </c>
      <c r="O69" s="89" t="str">
        <f aca="false">IFERROR(__xludf.dummyfunction("REGEXEXTRACT(ADDRESS(ROW(), 38+$H69), ""[A-Z]+"")"),"AL")</f>
        <v>AL</v>
      </c>
      <c r="P69" s="89" t="str">
        <f aca="false">IFERROR(__xludf.dummyfunction("REGEXEXTRACT(ADDRESS(ROW(), 39+$H69), ""[A-Z]+"")"),"AM")</f>
        <v>AM</v>
      </c>
      <c r="Q69" s="89" t="str">
        <f aca="false">IFERROR(__xludf.dummyfunction("REGEXEXTRACT(ADDRESS(ROW(), 40+$H69), ""[A-Z]+"")"),"AN")</f>
        <v>AN</v>
      </c>
      <c r="R69" s="89" t="n">
        <f aca="false">IFERROR(__xludf.dummyfunction("IFERROR(QUERY(INDIRECT(""'""&amp;$F69&amp;""'!C3:""&amp;Q69&amp;""""), ""SELECT ""&amp;I69&amp;"", ""&amp;J69&amp;"", ""&amp;K69&amp;"", ""&amp;L69&amp;"", ""&amp;M69&amp;"", ""&amp;N69&amp;"", ""&amp;O69&amp;"", ""&amp;P69&amp;"" WHERE '""&amp;B69&amp;""' CONTAINS D"", 0), """")"),17)</f>
        <v>17</v>
      </c>
      <c r="S69" s="89" t="n">
        <f aca="false">IFERROR(__xludf.dummyfunction("""COMPUTED_VALUE"""),19)</f>
        <v>19</v>
      </c>
      <c r="T69" s="89"/>
      <c r="U69" s="89"/>
      <c r="V69" s="89" t="n">
        <f aca="false">IFERROR(__xludf.dummyfunction("""COMPUTED_VALUE"""),6)</f>
        <v>6</v>
      </c>
      <c r="W69" s="89"/>
      <c r="X69" s="89" t="n">
        <f aca="false">IFERROR(__xludf.dummyfunction("""COMPUTED_VALUE"""),34)</f>
        <v>34</v>
      </c>
      <c r="Y69" s="89" t="n">
        <f aca="false">IFERROR(__xludf.dummyfunction("""COMPUTED_VALUE"""),76)</f>
        <v>76</v>
      </c>
    </row>
    <row r="70" customFormat="false" ht="17.9" hidden="false" customHeight="false" outlineLevel="0" collapsed="false">
      <c r="A70" s="85" t="n">
        <v>69</v>
      </c>
      <c r="B70" s="85" t="n">
        <v>435169</v>
      </c>
      <c r="C70" s="86" t="s">
        <v>168</v>
      </c>
      <c r="D70" s="87" t="s">
        <v>85</v>
      </c>
      <c r="E70" s="88" t="str">
        <f aca="false">D70</f>
        <v>P3132</v>
      </c>
      <c r="F70" s="88" t="str">
        <f aca="false">REPLACE(E70, 1, 3, "")</f>
        <v>32</v>
      </c>
      <c r="G70" s="89" t="str">
        <f aca="true">IFERROR(VLOOKUP(B70,INDIRECT("'"&amp;$F70&amp;"'!D3:D"),1,FALSE()), "Not found")</f>
        <v>Not found</v>
      </c>
      <c r="H70" s="89" t="n">
        <f aca="true">INDIRECT("'"&amp;$F70&amp;"'!D1")</f>
        <v>0</v>
      </c>
      <c r="I70" s="89" t="str">
        <f aca="false">IFERROR(__xludf.dummyfunction("REGEXEXTRACT(ADDRESS(ROW(), 19+$H70), ""[A-Z]+"")"),"S")</f>
        <v>S</v>
      </c>
      <c r="J70" s="89" t="str">
        <f aca="false">IFERROR(__xludf.dummyfunction("REGEXEXTRACT(ADDRESS(ROW(), 25+$H70), ""[A-Z]+"")"),"Y")</f>
        <v>Y</v>
      </c>
      <c r="K70" s="89" t="str">
        <f aca="false">IFERROR(__xludf.dummyfunction("REGEXEXTRACT(ADDRESS(ROW(), 27+$H70), ""[A-Z]+"")"),"AA")</f>
        <v>AA</v>
      </c>
      <c r="L70" s="89" t="str">
        <f aca="false">IFERROR(__xludf.dummyfunction("REGEXEXTRACT(ADDRESS(ROW(), 28+$H70), ""[A-Z]+"")"),"AB")</f>
        <v>AB</v>
      </c>
      <c r="M70" s="89" t="str">
        <f aca="false">IFERROR(__xludf.dummyfunction("REGEXEXTRACT(ADDRESS(ROW(), 34+$H70), ""[A-Z]+"")"),"AH")</f>
        <v>AH</v>
      </c>
      <c r="N70" s="89" t="str">
        <f aca="false">IFERROR(__xludf.dummyfunction("REGEXEXTRACT(ADDRESS(ROW(), 37+$H70), ""[A-Z]+"")"),"AK")</f>
        <v>AK</v>
      </c>
      <c r="O70" s="89" t="str">
        <f aca="false">IFERROR(__xludf.dummyfunction("REGEXEXTRACT(ADDRESS(ROW(), 38+$H70), ""[A-Z]+"")"),"AL")</f>
        <v>AL</v>
      </c>
      <c r="P70" s="89" t="str">
        <f aca="false">IFERROR(__xludf.dummyfunction("REGEXEXTRACT(ADDRESS(ROW(), 39+$H70), ""[A-Z]+"")"),"AM")</f>
        <v>AM</v>
      </c>
      <c r="Q70" s="89" t="str">
        <f aca="false">IFERROR(__xludf.dummyfunction("REGEXEXTRACT(ADDRESS(ROW(), 40+$H70), ""[A-Z]+"")"),"AN")</f>
        <v>AN</v>
      </c>
      <c r="R70" s="89" t="n">
        <f aca="false">IFERROR(__xludf.dummyfunction("IFERROR(QUERY(INDIRECT(""'""&amp;$F70&amp;""'!C3:""&amp;Q70&amp;""""), ""SELECT ""&amp;I70&amp;"", ""&amp;J70&amp;"", ""&amp;K70&amp;"", ""&amp;L70&amp;"", ""&amp;M70&amp;"", ""&amp;N70&amp;"", ""&amp;O70&amp;"", ""&amp;P70&amp;"" WHERE '""&amp;B70&amp;""' CONTAINS D"", 0), """")"),18)</f>
        <v>18</v>
      </c>
      <c r="S70" s="89" t="n">
        <f aca="false">IFERROR(__xludf.dummyfunction("""COMPUTED_VALUE"""),17)</f>
        <v>17</v>
      </c>
      <c r="T70" s="89"/>
      <c r="U70" s="89"/>
      <c r="V70" s="89" t="n">
        <f aca="false">IFERROR(__xludf.dummyfunction("""COMPUTED_VALUE"""),6)</f>
        <v>6</v>
      </c>
      <c r="W70" s="89"/>
      <c r="X70" s="89" t="n">
        <f aca="false">IFERROR(__xludf.dummyfunction("""COMPUTED_VALUE"""),38)</f>
        <v>38</v>
      </c>
      <c r="Y70" s="89" t="n">
        <f aca="false">IFERROR(__xludf.dummyfunction("""COMPUTED_VALUE"""),79)</f>
        <v>79</v>
      </c>
    </row>
    <row r="71" customFormat="false" ht="17.9" hidden="false" customHeight="false" outlineLevel="0" collapsed="false">
      <c r="A71" s="85" t="n">
        <v>70</v>
      </c>
      <c r="B71" s="85" t="n">
        <v>465676</v>
      </c>
      <c r="C71" s="86" t="s">
        <v>169</v>
      </c>
      <c r="D71" s="87" t="s">
        <v>85</v>
      </c>
      <c r="E71" s="88" t="str">
        <f aca="false">D71</f>
        <v>P3132</v>
      </c>
      <c r="F71" s="88" t="str">
        <f aca="false">REPLACE(E71, 1, 3, "")</f>
        <v>32</v>
      </c>
      <c r="G71" s="89" t="str">
        <f aca="true">IFERROR(VLOOKUP(B71,INDIRECT("'"&amp;$F71&amp;"'!D3:D"),1,FALSE()), "Not found")</f>
        <v>Not found</v>
      </c>
      <c r="H71" s="89" t="n">
        <f aca="true">INDIRECT("'"&amp;$F71&amp;"'!D1")</f>
        <v>0</v>
      </c>
      <c r="I71" s="89" t="str">
        <f aca="false">IFERROR(__xludf.dummyfunction("REGEXEXTRACT(ADDRESS(ROW(), 19+$H71), ""[A-Z]+"")"),"S")</f>
        <v>S</v>
      </c>
      <c r="J71" s="89" t="str">
        <f aca="false">IFERROR(__xludf.dummyfunction("REGEXEXTRACT(ADDRESS(ROW(), 25+$H71), ""[A-Z]+"")"),"Y")</f>
        <v>Y</v>
      </c>
      <c r="K71" s="89" t="str">
        <f aca="false">IFERROR(__xludf.dummyfunction("REGEXEXTRACT(ADDRESS(ROW(), 27+$H71), ""[A-Z]+"")"),"AA")</f>
        <v>AA</v>
      </c>
      <c r="L71" s="89" t="str">
        <f aca="false">IFERROR(__xludf.dummyfunction("REGEXEXTRACT(ADDRESS(ROW(), 28+$H71), ""[A-Z]+"")"),"AB")</f>
        <v>AB</v>
      </c>
      <c r="M71" s="89" t="str">
        <f aca="false">IFERROR(__xludf.dummyfunction("REGEXEXTRACT(ADDRESS(ROW(), 34+$H71), ""[A-Z]+"")"),"AH")</f>
        <v>AH</v>
      </c>
      <c r="N71" s="89" t="str">
        <f aca="false">IFERROR(__xludf.dummyfunction("REGEXEXTRACT(ADDRESS(ROW(), 37+$H71), ""[A-Z]+"")"),"AK")</f>
        <v>AK</v>
      </c>
      <c r="O71" s="89" t="str">
        <f aca="false">IFERROR(__xludf.dummyfunction("REGEXEXTRACT(ADDRESS(ROW(), 38+$H71), ""[A-Z]+"")"),"AL")</f>
        <v>AL</v>
      </c>
      <c r="P71" s="89" t="str">
        <f aca="false">IFERROR(__xludf.dummyfunction("REGEXEXTRACT(ADDRESS(ROW(), 39+$H71), ""[A-Z]+"")"),"AM")</f>
        <v>AM</v>
      </c>
      <c r="Q71" s="89" t="str">
        <f aca="false">IFERROR(__xludf.dummyfunction("REGEXEXTRACT(ADDRESS(ROW(), 40+$H71), ""[A-Z]+"")"),"AN")</f>
        <v>AN</v>
      </c>
      <c r="R71" s="89" t="n">
        <f aca="false">IFERROR(__xludf.dummyfunction("IFERROR(QUERY(INDIRECT(""'""&amp;$F71&amp;""'!C3:""&amp;Q71&amp;""""), ""SELECT ""&amp;I71&amp;"", ""&amp;J71&amp;"", ""&amp;K71&amp;"", ""&amp;L71&amp;"", ""&amp;M71&amp;"", ""&amp;N71&amp;"", ""&amp;O71&amp;"", ""&amp;P71&amp;"" WHERE '""&amp;B71&amp;""' CONTAINS D"", 0), """")"),19)</f>
        <v>19</v>
      </c>
      <c r="S71" s="89" t="n">
        <f aca="false">IFERROR(__xludf.dummyfunction("""COMPUTED_VALUE"""),17)</f>
        <v>17</v>
      </c>
      <c r="T71" s="89"/>
      <c r="U71" s="89"/>
      <c r="V71" s="89" t="n">
        <f aca="false">IFERROR(__xludf.dummyfunction("""COMPUTED_VALUE"""),6)</f>
        <v>6</v>
      </c>
      <c r="W71" s="89"/>
      <c r="X71" s="89" t="n">
        <f aca="false">IFERROR(__xludf.dummyfunction("""COMPUTED_VALUE"""),35)</f>
        <v>35</v>
      </c>
      <c r="Y71" s="89" t="n">
        <f aca="false">IFERROR(__xludf.dummyfunction("""COMPUTED_VALUE"""),77)</f>
        <v>77</v>
      </c>
    </row>
    <row r="72" customFormat="false" ht="17.9" hidden="false" customHeight="false" outlineLevel="0" collapsed="false">
      <c r="A72" s="85" t="n">
        <v>71</v>
      </c>
      <c r="B72" s="85" t="n">
        <v>471872</v>
      </c>
      <c r="C72" s="86" t="s">
        <v>170</v>
      </c>
      <c r="D72" s="87" t="s">
        <v>130</v>
      </c>
      <c r="E72" s="88" t="str">
        <f aca="false">D72</f>
        <v>P3117</v>
      </c>
      <c r="F72" s="88" t="str">
        <f aca="false">REPLACE(E72, 1, 3, "")</f>
        <v>17</v>
      </c>
      <c r="G72" s="89" t="str">
        <f aca="true">IFERROR(VLOOKUP(B72,INDIRECT("'"&amp;$F72&amp;"'!D3:D"),1,FALSE()), "Not found")</f>
        <v>Not found</v>
      </c>
      <c r="H72" s="89" t="n">
        <f aca="true">INDIRECT("'"&amp;$F72&amp;"'!D1")</f>
        <v>1</v>
      </c>
      <c r="I72" s="89" t="str">
        <f aca="false">IFERROR(__xludf.dummyfunction("REGEXEXTRACT(ADDRESS(ROW(), 19+$H72), ""[A-Z]+"")"),"T")</f>
        <v>T</v>
      </c>
      <c r="J72" s="89" t="str">
        <f aca="false">IFERROR(__xludf.dummyfunction("REGEXEXTRACT(ADDRESS(ROW(), 25+$H72), ""[A-Z]+"")"),"Z")</f>
        <v>Z</v>
      </c>
      <c r="K72" s="89" t="str">
        <f aca="false">IFERROR(__xludf.dummyfunction("REGEXEXTRACT(ADDRESS(ROW(), 27+$H72), ""[A-Z]+"")"),"AB")</f>
        <v>AB</v>
      </c>
      <c r="L72" s="89" t="str">
        <f aca="false">IFERROR(__xludf.dummyfunction("REGEXEXTRACT(ADDRESS(ROW(), 28+$H72), ""[A-Z]+"")"),"AC")</f>
        <v>AC</v>
      </c>
      <c r="M72" s="89" t="str">
        <f aca="false">IFERROR(__xludf.dummyfunction("REGEXEXTRACT(ADDRESS(ROW(), 34+$H72), ""[A-Z]+"")"),"AI")</f>
        <v>AI</v>
      </c>
      <c r="N72" s="89" t="str">
        <f aca="false">IFERROR(__xludf.dummyfunction("REGEXEXTRACT(ADDRESS(ROW(), 37+$H72), ""[A-Z]+"")"),"AL")</f>
        <v>AL</v>
      </c>
      <c r="O72" s="89" t="str">
        <f aca="false">IFERROR(__xludf.dummyfunction("REGEXEXTRACT(ADDRESS(ROW(), 38+$H72), ""[A-Z]+"")"),"AM")</f>
        <v>AM</v>
      </c>
      <c r="P72" s="89" t="str">
        <f aca="false">IFERROR(__xludf.dummyfunction("REGEXEXTRACT(ADDRESS(ROW(), 39+$H72), ""[A-Z]+"")"),"AN")</f>
        <v>AN</v>
      </c>
      <c r="Q72" s="89" t="str">
        <f aca="false">IFERROR(__xludf.dummyfunction("REGEXEXTRACT(ADDRESS(ROW(), 40+$H72), ""[A-Z]+"")"),"AO")</f>
        <v>AO</v>
      </c>
      <c r="R72" s="89" t="n">
        <f aca="false">IFERROR(__xludf.dummyfunction("IFERROR(QUERY(INDIRECT(""'""&amp;$F72&amp;""'!C3:""&amp;Q72&amp;""""), ""SELECT ""&amp;I72&amp;"", ""&amp;J72&amp;"", ""&amp;K72&amp;"", ""&amp;L72&amp;"", ""&amp;M72&amp;"", ""&amp;N72&amp;"", ""&amp;O72&amp;"", ""&amp;P72&amp;"" WHERE '""&amp;B72&amp;""' CONTAINS D"", 0), """")"),13)</f>
        <v>13</v>
      </c>
      <c r="S72" s="89" t="n">
        <f aca="false">IFERROR(__xludf.dummyfunction("""COMPUTED_VALUE"""),13)</f>
        <v>13</v>
      </c>
      <c r="T72" s="89"/>
      <c r="U72" s="89"/>
      <c r="V72" s="89" t="n">
        <f aca="false">IFERROR(__xludf.dummyfunction("""COMPUTED_VALUE"""),6)</f>
        <v>6</v>
      </c>
      <c r="W72" s="89"/>
      <c r="X72" s="89" t="n">
        <f aca="false">IFERROR(__xludf.dummyfunction("""COMPUTED_VALUE"""),30)</f>
        <v>30</v>
      </c>
      <c r="Y72" s="89" t="n">
        <f aca="false">IFERROR(__xludf.dummyfunction("""COMPUTED_VALUE"""),62)</f>
        <v>62</v>
      </c>
    </row>
    <row r="73" customFormat="false" ht="17.9" hidden="false" customHeight="false" outlineLevel="0" collapsed="false">
      <c r="A73" s="85" t="n">
        <v>72</v>
      </c>
      <c r="B73" s="85" t="n">
        <v>465716</v>
      </c>
      <c r="C73" s="86" t="s">
        <v>171</v>
      </c>
      <c r="D73" s="87" t="s">
        <v>87</v>
      </c>
      <c r="E73" s="88" t="str">
        <f aca="false">D73</f>
        <v>P3130</v>
      </c>
      <c r="F73" s="88" t="str">
        <f aca="false">REPLACE(E73, 1, 3, "")</f>
        <v>30</v>
      </c>
      <c r="G73" s="89" t="str">
        <f aca="true">IFERROR(VLOOKUP(B73,INDIRECT("'"&amp;$F73&amp;"'!D3:D"),1,FALSE()), "Not found")</f>
        <v>Not found</v>
      </c>
      <c r="H73" s="89" t="n">
        <f aca="true">INDIRECT("'"&amp;$F73&amp;"'!D1")</f>
        <v>0</v>
      </c>
      <c r="I73" s="89" t="str">
        <f aca="false">IFERROR(__xludf.dummyfunction("REGEXEXTRACT(ADDRESS(ROW(), 19+$H73), ""[A-Z]+"")"),"S")</f>
        <v>S</v>
      </c>
      <c r="J73" s="89" t="str">
        <f aca="false">IFERROR(__xludf.dummyfunction("REGEXEXTRACT(ADDRESS(ROW(), 25+$H73), ""[A-Z]+"")"),"Y")</f>
        <v>Y</v>
      </c>
      <c r="K73" s="89" t="str">
        <f aca="false">IFERROR(__xludf.dummyfunction("REGEXEXTRACT(ADDRESS(ROW(), 27+$H73), ""[A-Z]+"")"),"AA")</f>
        <v>AA</v>
      </c>
      <c r="L73" s="89" t="str">
        <f aca="false">IFERROR(__xludf.dummyfunction("REGEXEXTRACT(ADDRESS(ROW(), 28+$H73), ""[A-Z]+"")"),"AB")</f>
        <v>AB</v>
      </c>
      <c r="M73" s="89" t="str">
        <f aca="false">IFERROR(__xludf.dummyfunction("REGEXEXTRACT(ADDRESS(ROW(), 34+$H73), ""[A-Z]+"")"),"AH")</f>
        <v>AH</v>
      </c>
      <c r="N73" s="89" t="str">
        <f aca="false">IFERROR(__xludf.dummyfunction("REGEXEXTRACT(ADDRESS(ROW(), 37+$H73), ""[A-Z]+"")"),"AK")</f>
        <v>AK</v>
      </c>
      <c r="O73" s="89" t="str">
        <f aca="false">IFERROR(__xludf.dummyfunction("REGEXEXTRACT(ADDRESS(ROW(), 38+$H73), ""[A-Z]+"")"),"AL")</f>
        <v>AL</v>
      </c>
      <c r="P73" s="89" t="str">
        <f aca="false">IFERROR(__xludf.dummyfunction("REGEXEXTRACT(ADDRESS(ROW(), 39+$H73), ""[A-Z]+"")"),"AM")</f>
        <v>AM</v>
      </c>
      <c r="Q73" s="89" t="str">
        <f aca="false">IFERROR(__xludf.dummyfunction("REGEXEXTRACT(ADDRESS(ROW(), 40+$H73), ""[A-Z]+"")"),"AN")</f>
        <v>AN</v>
      </c>
      <c r="R73" s="89" t="n">
        <f aca="false">IFERROR(__xludf.dummyfunction("IFERROR(QUERY(INDIRECT(""'""&amp;$F73&amp;""'!C3:""&amp;Q73&amp;""""), ""SELECT ""&amp;I73&amp;"", ""&amp;J73&amp;"", ""&amp;K73&amp;"", ""&amp;L73&amp;"", ""&amp;M73&amp;"", ""&amp;N73&amp;"", ""&amp;O73&amp;"", ""&amp;P73&amp;"" WHERE '""&amp;B73&amp;""' CONTAINS D"", 0), """")"),15)</f>
        <v>15</v>
      </c>
      <c r="S73" s="89" t="n">
        <f aca="false">IFERROR(__xludf.dummyfunction("""COMPUTED_VALUE"""),19)</f>
        <v>19</v>
      </c>
      <c r="T73" s="89"/>
      <c r="U73" s="89"/>
      <c r="V73" s="89" t="n">
        <f aca="false">IFERROR(__xludf.dummyfunction("""COMPUTED_VALUE"""),6)</f>
        <v>6</v>
      </c>
      <c r="W73" s="89"/>
      <c r="X73" s="89" t="n">
        <f aca="false">IFERROR(__xludf.dummyfunction("""COMPUTED_VALUE"""),30)</f>
        <v>30</v>
      </c>
      <c r="Y73" s="89" t="n">
        <f aca="false">IFERROR(__xludf.dummyfunction("""COMPUTED_VALUE"""),70)</f>
        <v>70</v>
      </c>
    </row>
    <row r="74" customFormat="false" ht="17.9" hidden="false" customHeight="false" outlineLevel="0" collapsed="false">
      <c r="A74" s="85" t="n">
        <v>73</v>
      </c>
      <c r="B74" s="85" t="n">
        <v>465722</v>
      </c>
      <c r="C74" s="86" t="s">
        <v>172</v>
      </c>
      <c r="D74" s="87" t="s">
        <v>102</v>
      </c>
      <c r="E74" s="88" t="str">
        <f aca="false">D74</f>
        <v>P3110</v>
      </c>
      <c r="F74" s="88" t="str">
        <f aca="false">REPLACE(E74, 1, 3, "")</f>
        <v>10</v>
      </c>
      <c r="G74" s="89" t="str">
        <f aca="true">IFERROR(VLOOKUP(B74,INDIRECT("'"&amp;$F74&amp;"'!D3:D"),1,FALSE()), "Not found")</f>
        <v>Not found</v>
      </c>
      <c r="H74" s="89" t="n">
        <f aca="true">INDIRECT("'"&amp;$F74&amp;"'!D1")</f>
        <v>0</v>
      </c>
      <c r="I74" s="89" t="str">
        <f aca="false">IFERROR(__xludf.dummyfunction("REGEXEXTRACT(ADDRESS(ROW(), 19+$H74), ""[A-Z]+"")"),"S")</f>
        <v>S</v>
      </c>
      <c r="J74" s="89" t="str">
        <f aca="false">IFERROR(__xludf.dummyfunction("REGEXEXTRACT(ADDRESS(ROW(), 25+$H74), ""[A-Z]+"")"),"Y")</f>
        <v>Y</v>
      </c>
      <c r="K74" s="89" t="str">
        <f aca="false">IFERROR(__xludf.dummyfunction("REGEXEXTRACT(ADDRESS(ROW(), 27+$H74), ""[A-Z]+"")"),"AA")</f>
        <v>AA</v>
      </c>
      <c r="L74" s="89" t="str">
        <f aca="false">IFERROR(__xludf.dummyfunction("REGEXEXTRACT(ADDRESS(ROW(), 28+$H74), ""[A-Z]+"")"),"AB")</f>
        <v>AB</v>
      </c>
      <c r="M74" s="89" t="str">
        <f aca="false">IFERROR(__xludf.dummyfunction("REGEXEXTRACT(ADDRESS(ROW(), 34+$H74), ""[A-Z]+"")"),"AH")</f>
        <v>AH</v>
      </c>
      <c r="N74" s="89" t="str">
        <f aca="false">IFERROR(__xludf.dummyfunction("REGEXEXTRACT(ADDRESS(ROW(), 37+$H74), ""[A-Z]+"")"),"AK")</f>
        <v>AK</v>
      </c>
      <c r="O74" s="89" t="str">
        <f aca="false">IFERROR(__xludf.dummyfunction("REGEXEXTRACT(ADDRESS(ROW(), 38+$H74), ""[A-Z]+"")"),"AL")</f>
        <v>AL</v>
      </c>
      <c r="P74" s="89" t="str">
        <f aca="false">IFERROR(__xludf.dummyfunction("REGEXEXTRACT(ADDRESS(ROW(), 39+$H74), ""[A-Z]+"")"),"AM")</f>
        <v>AM</v>
      </c>
      <c r="Q74" s="89" t="str">
        <f aca="false">IFERROR(__xludf.dummyfunction("REGEXEXTRACT(ADDRESS(ROW(), 40+$H74), ""[A-Z]+"")"),"AN")</f>
        <v>AN</v>
      </c>
      <c r="R74" s="89" t="n">
        <f aca="false">IFERROR(__xludf.dummyfunction("IFERROR(QUERY(INDIRECT(""'""&amp;$F74&amp;""'!C3:""&amp;Q74&amp;""""), ""SELECT ""&amp;I74&amp;"", ""&amp;J74&amp;"", ""&amp;K74&amp;"", ""&amp;L74&amp;"", ""&amp;M74&amp;"", ""&amp;N74&amp;"", ""&amp;O74&amp;"", ""&amp;P74&amp;"" WHERE '""&amp;B74&amp;""' CONTAINS D"", 0), """")"),20)</f>
        <v>20</v>
      </c>
      <c r="S74" s="89" t="n">
        <f aca="false">IFERROR(__xludf.dummyfunction("""COMPUTED_VALUE"""),18)</f>
        <v>18</v>
      </c>
      <c r="T74" s="89"/>
      <c r="U74" s="89"/>
      <c r="V74" s="89" t="n">
        <f aca="false">IFERROR(__xludf.dummyfunction("""COMPUTED_VALUE"""),10)</f>
        <v>10</v>
      </c>
      <c r="W74" s="89"/>
      <c r="X74" s="89" t="n">
        <f aca="false">IFERROR(__xludf.dummyfunction("""COMPUTED_VALUE"""),40)</f>
        <v>40</v>
      </c>
      <c r="Y74" s="89" t="n">
        <f aca="false">IFERROR(__xludf.dummyfunction("""COMPUTED_VALUE"""),88)</f>
        <v>88</v>
      </c>
    </row>
    <row r="75" customFormat="false" ht="17.9" hidden="false" customHeight="false" outlineLevel="0" collapsed="false">
      <c r="A75" s="85" t="n">
        <v>74</v>
      </c>
      <c r="B75" s="85" t="n">
        <v>465727</v>
      </c>
      <c r="C75" s="86" t="s">
        <v>173</v>
      </c>
      <c r="D75" s="87" t="s">
        <v>85</v>
      </c>
      <c r="E75" s="88" t="str">
        <f aca="false">D75</f>
        <v>P3132</v>
      </c>
      <c r="F75" s="88" t="str">
        <f aca="false">REPLACE(E75, 1, 3, "")</f>
        <v>32</v>
      </c>
      <c r="G75" s="89" t="str">
        <f aca="true">IFERROR(VLOOKUP(B75,INDIRECT("'"&amp;$F75&amp;"'!D3:D"),1,FALSE()), "Not found")</f>
        <v>Not found</v>
      </c>
      <c r="H75" s="89" t="n">
        <f aca="true">INDIRECT("'"&amp;$F75&amp;"'!D1")</f>
        <v>0</v>
      </c>
      <c r="I75" s="89" t="str">
        <f aca="false">IFERROR(__xludf.dummyfunction("REGEXEXTRACT(ADDRESS(ROW(), 19+$H75), ""[A-Z]+"")"),"S")</f>
        <v>S</v>
      </c>
      <c r="J75" s="89" t="str">
        <f aca="false">IFERROR(__xludf.dummyfunction("REGEXEXTRACT(ADDRESS(ROW(), 25+$H75), ""[A-Z]+"")"),"Y")</f>
        <v>Y</v>
      </c>
      <c r="K75" s="89" t="str">
        <f aca="false">IFERROR(__xludf.dummyfunction("REGEXEXTRACT(ADDRESS(ROW(), 27+$H75), ""[A-Z]+"")"),"AA")</f>
        <v>AA</v>
      </c>
      <c r="L75" s="89" t="str">
        <f aca="false">IFERROR(__xludf.dummyfunction("REGEXEXTRACT(ADDRESS(ROW(), 28+$H75), ""[A-Z]+"")"),"AB")</f>
        <v>AB</v>
      </c>
      <c r="M75" s="89" t="str">
        <f aca="false">IFERROR(__xludf.dummyfunction("REGEXEXTRACT(ADDRESS(ROW(), 34+$H75), ""[A-Z]+"")"),"AH")</f>
        <v>AH</v>
      </c>
      <c r="N75" s="89" t="str">
        <f aca="false">IFERROR(__xludf.dummyfunction("REGEXEXTRACT(ADDRESS(ROW(), 37+$H75), ""[A-Z]+"")"),"AK")</f>
        <v>AK</v>
      </c>
      <c r="O75" s="89" t="str">
        <f aca="false">IFERROR(__xludf.dummyfunction("REGEXEXTRACT(ADDRESS(ROW(), 38+$H75), ""[A-Z]+"")"),"AL")</f>
        <v>AL</v>
      </c>
      <c r="P75" s="89" t="str">
        <f aca="false">IFERROR(__xludf.dummyfunction("REGEXEXTRACT(ADDRESS(ROW(), 39+$H75), ""[A-Z]+"")"),"AM")</f>
        <v>AM</v>
      </c>
      <c r="Q75" s="89" t="str">
        <f aca="false">IFERROR(__xludf.dummyfunction("REGEXEXTRACT(ADDRESS(ROW(), 40+$H75), ""[A-Z]+"")"),"AN")</f>
        <v>AN</v>
      </c>
      <c r="R75" s="89" t="n">
        <f aca="false">IFERROR(__xludf.dummyfunction("IFERROR(QUERY(INDIRECT(""'""&amp;$F75&amp;""'!C3:""&amp;Q75&amp;""""), ""SELECT ""&amp;I75&amp;"", ""&amp;J75&amp;"", ""&amp;K75&amp;"", ""&amp;L75&amp;"", ""&amp;M75&amp;"", ""&amp;N75&amp;"", ""&amp;O75&amp;"", ""&amp;P75&amp;"" WHERE '""&amp;B75&amp;""' CONTAINS D"", 0), """")"),12)</f>
        <v>12</v>
      </c>
      <c r="S75" s="89" t="n">
        <f aca="false">IFERROR(__xludf.dummyfunction("""COMPUTED_VALUE"""),14)</f>
        <v>14</v>
      </c>
      <c r="T75" s="89"/>
      <c r="U75" s="89"/>
      <c r="V75" s="89" t="n">
        <f aca="false">IFERROR(__xludf.dummyfunction("""COMPUTED_VALUE"""),6)</f>
        <v>6</v>
      </c>
      <c r="W75" s="89"/>
      <c r="X75" s="89" t="n">
        <f aca="false">IFERROR(__xludf.dummyfunction("""COMPUTED_VALUE"""),28)</f>
        <v>28</v>
      </c>
      <c r="Y75" s="89" t="n">
        <f aca="false">IFERROR(__xludf.dummyfunction("""COMPUTED_VALUE"""),60)</f>
        <v>60</v>
      </c>
    </row>
    <row r="76" customFormat="false" ht="17.9" hidden="false" customHeight="false" outlineLevel="0" collapsed="false">
      <c r="A76" s="85" t="n">
        <v>75</v>
      </c>
      <c r="B76" s="85" t="n">
        <v>465729</v>
      </c>
      <c r="C76" s="86" t="s">
        <v>174</v>
      </c>
      <c r="D76" s="87" t="s">
        <v>119</v>
      </c>
      <c r="E76" s="88" t="str">
        <f aca="false">D76</f>
        <v>P3121</v>
      </c>
      <c r="F76" s="88" t="str">
        <f aca="false">REPLACE(E76, 1, 3, "")</f>
        <v>21</v>
      </c>
      <c r="G76" s="89" t="str">
        <f aca="true">IFERROR(VLOOKUP(B76,INDIRECT("'"&amp;$F76&amp;"'!D3:D"),1,FALSE()), "Not found")</f>
        <v>Not found</v>
      </c>
      <c r="H76" s="89" t="n">
        <f aca="true">INDIRECT("'"&amp;$F76&amp;"'!D1")</f>
        <v>5</v>
      </c>
      <c r="I76" s="89" t="str">
        <f aca="false">IFERROR(__xludf.dummyfunction("REGEXEXTRACT(ADDRESS(ROW(), 19+$H76), ""[A-Z]+"")"),"X")</f>
        <v>X</v>
      </c>
      <c r="J76" s="89" t="str">
        <f aca="false">IFERROR(__xludf.dummyfunction("REGEXEXTRACT(ADDRESS(ROW(), 25+$H76), ""[A-Z]+"")"),"AD")</f>
        <v>AD</v>
      </c>
      <c r="K76" s="89" t="str">
        <f aca="false">IFERROR(__xludf.dummyfunction("REGEXEXTRACT(ADDRESS(ROW(), 27+$H76), ""[A-Z]+"")"),"AF")</f>
        <v>AF</v>
      </c>
      <c r="L76" s="89" t="str">
        <f aca="false">IFERROR(__xludf.dummyfunction("REGEXEXTRACT(ADDRESS(ROW(), 28+$H76), ""[A-Z]+"")"),"AG")</f>
        <v>AG</v>
      </c>
      <c r="M76" s="89" t="str">
        <f aca="false">IFERROR(__xludf.dummyfunction("REGEXEXTRACT(ADDRESS(ROW(), 34+$H76), ""[A-Z]+"")"),"AM")</f>
        <v>AM</v>
      </c>
      <c r="N76" s="89" t="str">
        <f aca="false">IFERROR(__xludf.dummyfunction("REGEXEXTRACT(ADDRESS(ROW(), 37+$H76), ""[A-Z]+"")"),"AP")</f>
        <v>AP</v>
      </c>
      <c r="O76" s="89" t="str">
        <f aca="false">IFERROR(__xludf.dummyfunction("REGEXEXTRACT(ADDRESS(ROW(), 38+$H76), ""[A-Z]+"")"),"AQ")</f>
        <v>AQ</v>
      </c>
      <c r="P76" s="89" t="str">
        <f aca="false">IFERROR(__xludf.dummyfunction("REGEXEXTRACT(ADDRESS(ROW(), 39+$H76), ""[A-Z]+"")"),"AR")</f>
        <v>AR</v>
      </c>
      <c r="Q76" s="89" t="str">
        <f aca="false">IFERROR(__xludf.dummyfunction("REGEXEXTRACT(ADDRESS(ROW(), 40+$H76), ""[A-Z]+"")"),"AS")</f>
        <v>AS</v>
      </c>
      <c r="R76" s="89" t="n">
        <f aca="false">IFERROR(__xludf.dummyfunction("IFERROR(QUERY(INDIRECT(""'""&amp;$F76&amp;""'!C3:""&amp;Q76&amp;""""), ""SELECT ""&amp;I76&amp;"", ""&amp;J76&amp;"", ""&amp;K76&amp;"", ""&amp;L76&amp;"", ""&amp;M76&amp;"", ""&amp;N76&amp;"", ""&amp;O76&amp;"", ""&amp;P76&amp;"" WHERE '""&amp;B76&amp;""' CONTAINS D"", 0), """")"),17)</f>
        <v>17</v>
      </c>
      <c r="S76" s="89" t="n">
        <f aca="false">IFERROR(__xludf.dummyfunction("""COMPUTED_VALUE"""),17)</f>
        <v>17</v>
      </c>
      <c r="T76" s="89"/>
      <c r="U76" s="89"/>
      <c r="V76" s="89" t="n">
        <f aca="false">IFERROR(__xludf.dummyfunction("""COMPUTED_VALUE"""),7)</f>
        <v>7</v>
      </c>
      <c r="W76" s="89"/>
      <c r="X76" s="89" t="n">
        <f aca="false">IFERROR(__xludf.dummyfunction("""COMPUTED_VALUE"""),40)</f>
        <v>40</v>
      </c>
      <c r="Y76" s="89" t="n">
        <f aca="false">IFERROR(__xludf.dummyfunction("""COMPUTED_VALUE"""),81)</f>
        <v>81</v>
      </c>
    </row>
    <row r="77" customFormat="false" ht="17.9" hidden="false" customHeight="false" outlineLevel="0" collapsed="false">
      <c r="A77" s="85" t="n">
        <v>76</v>
      </c>
      <c r="B77" s="85" t="n">
        <v>465745</v>
      </c>
      <c r="C77" s="86" t="s">
        <v>175</v>
      </c>
      <c r="D77" s="87" t="s">
        <v>139</v>
      </c>
      <c r="E77" s="88" t="str">
        <f aca="false">D77</f>
        <v>P3118</v>
      </c>
      <c r="F77" s="88" t="str">
        <f aca="false">REPLACE(E77, 1, 3, "")</f>
        <v>18</v>
      </c>
      <c r="G77" s="89" t="str">
        <f aca="true">IFERROR(VLOOKUP(B77,INDIRECT("'"&amp;$F77&amp;"'!D3:D"),1,FALSE()), "Not found")</f>
        <v>Not found</v>
      </c>
      <c r="H77" s="89" t="n">
        <f aca="true">INDIRECT("'"&amp;$F77&amp;"'!D1")</f>
        <v>0</v>
      </c>
      <c r="I77" s="89" t="str">
        <f aca="false">IFERROR(__xludf.dummyfunction("REGEXEXTRACT(ADDRESS(ROW(), 19+$H77), ""[A-Z]+"")"),"S")</f>
        <v>S</v>
      </c>
      <c r="J77" s="89" t="str">
        <f aca="false">IFERROR(__xludf.dummyfunction("REGEXEXTRACT(ADDRESS(ROW(), 25+$H77), ""[A-Z]+"")"),"Y")</f>
        <v>Y</v>
      </c>
      <c r="K77" s="89" t="str">
        <f aca="false">IFERROR(__xludf.dummyfunction("REGEXEXTRACT(ADDRESS(ROW(), 27+$H77), ""[A-Z]+"")"),"AA")</f>
        <v>AA</v>
      </c>
      <c r="L77" s="89" t="str">
        <f aca="false">IFERROR(__xludf.dummyfunction("REGEXEXTRACT(ADDRESS(ROW(), 28+$H77), ""[A-Z]+"")"),"AB")</f>
        <v>AB</v>
      </c>
      <c r="M77" s="89" t="str">
        <f aca="false">IFERROR(__xludf.dummyfunction("REGEXEXTRACT(ADDRESS(ROW(), 34+$H77), ""[A-Z]+"")"),"AH")</f>
        <v>AH</v>
      </c>
      <c r="N77" s="89" t="str">
        <f aca="false">IFERROR(__xludf.dummyfunction("REGEXEXTRACT(ADDRESS(ROW(), 37+$H77), ""[A-Z]+"")"),"AK")</f>
        <v>AK</v>
      </c>
      <c r="O77" s="89" t="str">
        <f aca="false">IFERROR(__xludf.dummyfunction("REGEXEXTRACT(ADDRESS(ROW(), 38+$H77), ""[A-Z]+"")"),"AL")</f>
        <v>AL</v>
      </c>
      <c r="P77" s="89" t="str">
        <f aca="false">IFERROR(__xludf.dummyfunction("REGEXEXTRACT(ADDRESS(ROW(), 39+$H77), ""[A-Z]+"")"),"AM")</f>
        <v>AM</v>
      </c>
      <c r="Q77" s="89" t="str">
        <f aca="false">IFERROR(__xludf.dummyfunction("REGEXEXTRACT(ADDRESS(ROW(), 40+$H77), ""[A-Z]+"")"),"AN")</f>
        <v>AN</v>
      </c>
      <c r="R77" s="89" t="n">
        <f aca="false">IFERROR(__xludf.dummyfunction("IFERROR(QUERY(INDIRECT(""'""&amp;$F77&amp;""'!C3:""&amp;Q77&amp;""""), ""SELECT ""&amp;I77&amp;"", ""&amp;J77&amp;"", ""&amp;K77&amp;"", ""&amp;L77&amp;"", ""&amp;M77&amp;"", ""&amp;N77&amp;"", ""&amp;O77&amp;"", ""&amp;P77&amp;"" WHERE '""&amp;B77&amp;""' CONTAINS D"", 0), """")"),20)</f>
        <v>20</v>
      </c>
      <c r="S77" s="89" t="n">
        <f aca="false">IFERROR(__xludf.dummyfunction("""COMPUTED_VALUE"""),19.7)</f>
        <v>19.7</v>
      </c>
      <c r="T77" s="89"/>
      <c r="U77" s="89"/>
      <c r="V77" s="89" t="n">
        <f aca="false">IFERROR(__xludf.dummyfunction("""COMPUTED_VALUE"""),10)</f>
        <v>10</v>
      </c>
      <c r="W77" s="89"/>
      <c r="X77" s="89" t="n">
        <f aca="false">IFERROR(__xludf.dummyfunction("""COMPUTED_VALUE"""),39)</f>
        <v>39</v>
      </c>
      <c r="Y77" s="89" t="n">
        <f aca="false">IFERROR(__xludf.dummyfunction("""COMPUTED_VALUE"""),88.7)</f>
        <v>88.7</v>
      </c>
    </row>
    <row r="78" customFormat="false" ht="17.9" hidden="false" customHeight="false" outlineLevel="0" collapsed="false">
      <c r="A78" s="85" t="n">
        <v>77</v>
      </c>
      <c r="B78" s="85" t="n">
        <v>465746</v>
      </c>
      <c r="C78" s="86" t="s">
        <v>176</v>
      </c>
      <c r="D78" s="87" t="s">
        <v>91</v>
      </c>
      <c r="E78" s="88" t="str">
        <f aca="false">D78</f>
        <v>P3111</v>
      </c>
      <c r="F78" s="88" t="str">
        <f aca="false">REPLACE(E78, 1, 3, "")</f>
        <v>11</v>
      </c>
      <c r="G78" s="89" t="str">
        <f aca="true">IFERROR(VLOOKUP(B78,INDIRECT("'"&amp;$F78&amp;"'!D3:D"),1,FALSE()), "Not found")</f>
        <v>Not found</v>
      </c>
      <c r="H78" s="89" t="n">
        <f aca="true">INDIRECT("'"&amp;$F78&amp;"'!D1")</f>
        <v>0</v>
      </c>
      <c r="I78" s="89" t="str">
        <f aca="false">IFERROR(__xludf.dummyfunction("REGEXEXTRACT(ADDRESS(ROW(), 19+$H78), ""[A-Z]+"")"),"S")</f>
        <v>S</v>
      </c>
      <c r="J78" s="89" t="str">
        <f aca="false">IFERROR(__xludf.dummyfunction("REGEXEXTRACT(ADDRESS(ROW(), 25+$H78), ""[A-Z]+"")"),"Y")</f>
        <v>Y</v>
      </c>
      <c r="K78" s="89" t="str">
        <f aca="false">IFERROR(__xludf.dummyfunction("REGEXEXTRACT(ADDRESS(ROW(), 27+$H78), ""[A-Z]+"")"),"AA")</f>
        <v>AA</v>
      </c>
      <c r="L78" s="89" t="str">
        <f aca="false">IFERROR(__xludf.dummyfunction("REGEXEXTRACT(ADDRESS(ROW(), 28+$H78), ""[A-Z]+"")"),"AB")</f>
        <v>AB</v>
      </c>
      <c r="M78" s="89" t="str">
        <f aca="false">IFERROR(__xludf.dummyfunction("REGEXEXTRACT(ADDRESS(ROW(), 34+$H78), ""[A-Z]+"")"),"AH")</f>
        <v>AH</v>
      </c>
      <c r="N78" s="89" t="str">
        <f aca="false">IFERROR(__xludf.dummyfunction("REGEXEXTRACT(ADDRESS(ROW(), 37+$H78), ""[A-Z]+"")"),"AK")</f>
        <v>AK</v>
      </c>
      <c r="O78" s="89" t="str">
        <f aca="false">IFERROR(__xludf.dummyfunction("REGEXEXTRACT(ADDRESS(ROW(), 38+$H78), ""[A-Z]+"")"),"AL")</f>
        <v>AL</v>
      </c>
      <c r="P78" s="89" t="str">
        <f aca="false">IFERROR(__xludf.dummyfunction("REGEXEXTRACT(ADDRESS(ROW(), 39+$H78), ""[A-Z]+"")"),"AM")</f>
        <v>AM</v>
      </c>
      <c r="Q78" s="89" t="str">
        <f aca="false">IFERROR(__xludf.dummyfunction("REGEXEXTRACT(ADDRESS(ROW(), 40+$H78), ""[A-Z]+"")"),"AN")</f>
        <v>AN</v>
      </c>
      <c r="R78" s="89" t="n">
        <f aca="false">IFERROR(__xludf.dummyfunction("IFERROR(QUERY(INDIRECT(""'""&amp;$F78&amp;""'!C3:""&amp;Q78&amp;""""), ""SELECT ""&amp;I78&amp;"", ""&amp;J78&amp;"", ""&amp;K78&amp;"", ""&amp;L78&amp;"", ""&amp;M78&amp;"", ""&amp;N78&amp;"", ""&amp;O78&amp;"", ""&amp;P78&amp;"" WHERE '""&amp;B78&amp;""' CONTAINS D"", 0), """")"),15)</f>
        <v>15</v>
      </c>
      <c r="S78" s="89" t="n">
        <f aca="false">IFERROR(__xludf.dummyfunction("""COMPUTED_VALUE"""),12)</f>
        <v>12</v>
      </c>
      <c r="T78" s="89"/>
      <c r="U78" s="89"/>
      <c r="V78" s="89" t="n">
        <f aca="false">IFERROR(__xludf.dummyfunction("""COMPUTED_VALUE"""),6)</f>
        <v>6</v>
      </c>
      <c r="W78" s="89"/>
      <c r="X78" s="89" t="n">
        <f aca="false">IFERROR(__xludf.dummyfunction("""COMPUTED_VALUE"""),28)</f>
        <v>28</v>
      </c>
      <c r="Y78" s="89" t="n">
        <f aca="false">IFERROR(__xludf.dummyfunction("""COMPUTED_VALUE"""),61)</f>
        <v>61</v>
      </c>
    </row>
    <row r="79" customFormat="false" ht="17.9" hidden="false" customHeight="false" outlineLevel="0" collapsed="false">
      <c r="A79" s="85" t="n">
        <v>78</v>
      </c>
      <c r="B79" s="85" t="n">
        <v>465755</v>
      </c>
      <c r="C79" s="86" t="s">
        <v>177</v>
      </c>
      <c r="D79" s="87" t="s">
        <v>81</v>
      </c>
      <c r="E79" s="88" t="str">
        <f aca="false">D79</f>
        <v>P3108</v>
      </c>
      <c r="F79" s="88" t="str">
        <f aca="false">REPLACE(E79, 1, 3, "")</f>
        <v>08</v>
      </c>
      <c r="G79" s="89" t="str">
        <f aca="true">IFERROR(VLOOKUP(B79,INDIRECT("'"&amp;$F79&amp;"'!D3:D"),1,FALSE()), "Not found")</f>
        <v>Not found</v>
      </c>
      <c r="H79" s="89" t="n">
        <f aca="true">INDIRECT("'"&amp;$F79&amp;"'!D1")</f>
        <v>0</v>
      </c>
      <c r="I79" s="89" t="str">
        <f aca="false">IFERROR(__xludf.dummyfunction("REGEXEXTRACT(ADDRESS(ROW(), 19+$H79), ""[A-Z]+"")"),"S")</f>
        <v>S</v>
      </c>
      <c r="J79" s="89" t="str">
        <f aca="false">IFERROR(__xludf.dummyfunction("REGEXEXTRACT(ADDRESS(ROW(), 25+$H79), ""[A-Z]+"")"),"Y")</f>
        <v>Y</v>
      </c>
      <c r="K79" s="89" t="str">
        <f aca="false">IFERROR(__xludf.dummyfunction("REGEXEXTRACT(ADDRESS(ROW(), 27+$H79), ""[A-Z]+"")"),"AA")</f>
        <v>AA</v>
      </c>
      <c r="L79" s="89" t="str">
        <f aca="false">IFERROR(__xludf.dummyfunction("REGEXEXTRACT(ADDRESS(ROW(), 28+$H79), ""[A-Z]+"")"),"AB")</f>
        <v>AB</v>
      </c>
      <c r="M79" s="89" t="str">
        <f aca="false">IFERROR(__xludf.dummyfunction("REGEXEXTRACT(ADDRESS(ROW(), 34+$H79), ""[A-Z]+"")"),"AH")</f>
        <v>AH</v>
      </c>
      <c r="N79" s="89" t="str">
        <f aca="false">IFERROR(__xludf.dummyfunction("REGEXEXTRACT(ADDRESS(ROW(), 37+$H79), ""[A-Z]+"")"),"AK")</f>
        <v>AK</v>
      </c>
      <c r="O79" s="89" t="str">
        <f aca="false">IFERROR(__xludf.dummyfunction("REGEXEXTRACT(ADDRESS(ROW(), 38+$H79), ""[A-Z]+"")"),"AL")</f>
        <v>AL</v>
      </c>
      <c r="P79" s="89" t="str">
        <f aca="false">IFERROR(__xludf.dummyfunction("REGEXEXTRACT(ADDRESS(ROW(), 39+$H79), ""[A-Z]+"")"),"AM")</f>
        <v>AM</v>
      </c>
      <c r="Q79" s="89" t="str">
        <f aca="false">IFERROR(__xludf.dummyfunction("REGEXEXTRACT(ADDRESS(ROW(), 40+$H79), ""[A-Z]+"")"),"AN")</f>
        <v>AN</v>
      </c>
      <c r="R79" s="89" t="n">
        <f aca="false">IFERROR(__xludf.dummyfunction("IFERROR(QUERY(INDIRECT(""'""&amp;$F79&amp;""'!C3:""&amp;Q79&amp;""""), ""SELECT ""&amp;I79&amp;"", ""&amp;J79&amp;"", ""&amp;K79&amp;"", ""&amp;L79&amp;"", ""&amp;M79&amp;"", ""&amp;N79&amp;"", ""&amp;O79&amp;"", ""&amp;P79&amp;"" WHERE '""&amp;B79&amp;""' CONTAINS D"", 0), """")"),19)</f>
        <v>19</v>
      </c>
      <c r="S79" s="89" t="n">
        <f aca="false">IFERROR(__xludf.dummyfunction("""COMPUTED_VALUE"""),20)</f>
        <v>20</v>
      </c>
      <c r="T79" s="89"/>
      <c r="U79" s="89"/>
      <c r="V79" s="89" t="n">
        <f aca="false">IFERROR(__xludf.dummyfunction("""COMPUTED_VALUE"""),6)</f>
        <v>6</v>
      </c>
      <c r="W79" s="89"/>
      <c r="X79" s="89" t="n">
        <f aca="false">IFERROR(__xludf.dummyfunction("""COMPUTED_VALUE"""),40)</f>
        <v>40</v>
      </c>
      <c r="Y79" s="89" t="n">
        <f aca="false">IFERROR(__xludf.dummyfunction("""COMPUTED_VALUE"""),85)</f>
        <v>85</v>
      </c>
    </row>
    <row r="80" customFormat="false" ht="17.9" hidden="false" customHeight="false" outlineLevel="0" collapsed="false">
      <c r="A80" s="85" t="n">
        <v>79</v>
      </c>
      <c r="B80" s="85" t="n">
        <v>465757</v>
      </c>
      <c r="C80" s="86" t="s">
        <v>178</v>
      </c>
      <c r="D80" s="87" t="s">
        <v>95</v>
      </c>
      <c r="E80" s="88" t="str">
        <f aca="false">D80</f>
        <v>P3106</v>
      </c>
      <c r="F80" s="88" t="str">
        <f aca="false">REPLACE(E80, 1, 3, "")</f>
        <v>06</v>
      </c>
      <c r="G80" s="89" t="str">
        <f aca="true">IFERROR(VLOOKUP(B80,INDIRECT("'"&amp;$F80&amp;"'!D3:D"),1,FALSE()), "Not found")</f>
        <v>Not found</v>
      </c>
      <c r="H80" s="89" t="n">
        <f aca="true">INDIRECT("'"&amp;$F80&amp;"'!D1")</f>
        <v>0</v>
      </c>
      <c r="I80" s="89" t="str">
        <f aca="false">IFERROR(__xludf.dummyfunction("REGEXEXTRACT(ADDRESS(ROW(), 19+$H80), ""[A-Z]+"")"),"S")</f>
        <v>S</v>
      </c>
      <c r="J80" s="89" t="str">
        <f aca="false">IFERROR(__xludf.dummyfunction("REGEXEXTRACT(ADDRESS(ROW(), 25+$H80), ""[A-Z]+"")"),"Y")</f>
        <v>Y</v>
      </c>
      <c r="K80" s="89" t="str">
        <f aca="false">IFERROR(__xludf.dummyfunction("REGEXEXTRACT(ADDRESS(ROW(), 27+$H80), ""[A-Z]+"")"),"AA")</f>
        <v>AA</v>
      </c>
      <c r="L80" s="89" t="str">
        <f aca="false">IFERROR(__xludf.dummyfunction("REGEXEXTRACT(ADDRESS(ROW(), 28+$H80), ""[A-Z]+"")"),"AB")</f>
        <v>AB</v>
      </c>
      <c r="M80" s="89" t="str">
        <f aca="false">IFERROR(__xludf.dummyfunction("REGEXEXTRACT(ADDRESS(ROW(), 34+$H80), ""[A-Z]+"")"),"AH")</f>
        <v>AH</v>
      </c>
      <c r="N80" s="89" t="str">
        <f aca="false">IFERROR(__xludf.dummyfunction("REGEXEXTRACT(ADDRESS(ROW(), 37+$H80), ""[A-Z]+"")"),"AK")</f>
        <v>AK</v>
      </c>
      <c r="O80" s="89" t="str">
        <f aca="false">IFERROR(__xludf.dummyfunction("REGEXEXTRACT(ADDRESS(ROW(), 38+$H80), ""[A-Z]+"")"),"AL")</f>
        <v>AL</v>
      </c>
      <c r="P80" s="89" t="str">
        <f aca="false">IFERROR(__xludf.dummyfunction("REGEXEXTRACT(ADDRESS(ROW(), 39+$H80), ""[A-Z]+"")"),"AM")</f>
        <v>AM</v>
      </c>
      <c r="Q80" s="89" t="str">
        <f aca="false">IFERROR(__xludf.dummyfunction("REGEXEXTRACT(ADDRESS(ROW(), 40+$H80), ""[A-Z]+"")"),"AN")</f>
        <v>AN</v>
      </c>
      <c r="R80" s="89" t="n">
        <f aca="false">IFERROR(__xludf.dummyfunction("IFERROR(QUERY(INDIRECT(""'""&amp;$F80&amp;""'!C3:""&amp;Q80&amp;""""), ""SELECT ""&amp;I80&amp;"", ""&amp;J80&amp;"", ""&amp;K80&amp;"", ""&amp;L80&amp;"", ""&amp;M80&amp;"", ""&amp;N80&amp;"", ""&amp;O80&amp;"", ""&amp;P80&amp;"" WHERE '""&amp;B80&amp;""' CONTAINS D"", 0), """")"),14)</f>
        <v>14</v>
      </c>
      <c r="S80" s="89" t="n">
        <f aca="false">IFERROR(__xludf.dummyfunction("""COMPUTED_VALUE"""),12)</f>
        <v>12</v>
      </c>
      <c r="T80" s="89"/>
      <c r="U80" s="89"/>
      <c r="V80" s="89" t="n">
        <f aca="false">IFERROR(__xludf.dummyfunction("""COMPUTED_VALUE"""),6)</f>
        <v>6</v>
      </c>
      <c r="W80" s="89"/>
      <c r="X80" s="89" t="n">
        <f aca="false">IFERROR(__xludf.dummyfunction("""COMPUTED_VALUE"""),29)</f>
        <v>29</v>
      </c>
      <c r="Y80" s="89" t="n">
        <f aca="false">IFERROR(__xludf.dummyfunction("""COMPUTED_VALUE"""),61)</f>
        <v>61</v>
      </c>
    </row>
    <row r="81" customFormat="false" ht="17.9" hidden="false" customHeight="false" outlineLevel="0" collapsed="false">
      <c r="A81" s="85" t="n">
        <v>80</v>
      </c>
      <c r="B81" s="85" t="n">
        <v>408023</v>
      </c>
      <c r="C81" s="86" t="s">
        <v>179</v>
      </c>
      <c r="D81" s="87" t="s">
        <v>85</v>
      </c>
      <c r="E81" s="88" t="str">
        <f aca="false">D81</f>
        <v>P3132</v>
      </c>
      <c r="F81" s="88" t="str">
        <f aca="false">REPLACE(E81, 1, 3, "")</f>
        <v>32</v>
      </c>
      <c r="G81" s="89" t="str">
        <f aca="true">IFERROR(VLOOKUP(B81,INDIRECT("'"&amp;$F81&amp;"'!D3:D"),1,FALSE()), "Not found")</f>
        <v>Not found</v>
      </c>
      <c r="H81" s="89" t="n">
        <f aca="true">INDIRECT("'"&amp;$F81&amp;"'!D1")</f>
        <v>0</v>
      </c>
      <c r="I81" s="89" t="str">
        <f aca="false">IFERROR(__xludf.dummyfunction("REGEXEXTRACT(ADDRESS(ROW(), 19+$H81), ""[A-Z]+"")"),"S")</f>
        <v>S</v>
      </c>
      <c r="J81" s="89" t="str">
        <f aca="false">IFERROR(__xludf.dummyfunction("REGEXEXTRACT(ADDRESS(ROW(), 25+$H81), ""[A-Z]+"")"),"Y")</f>
        <v>Y</v>
      </c>
      <c r="K81" s="89" t="str">
        <f aca="false">IFERROR(__xludf.dummyfunction("REGEXEXTRACT(ADDRESS(ROW(), 27+$H81), ""[A-Z]+"")"),"AA")</f>
        <v>AA</v>
      </c>
      <c r="L81" s="89" t="str">
        <f aca="false">IFERROR(__xludf.dummyfunction("REGEXEXTRACT(ADDRESS(ROW(), 28+$H81), ""[A-Z]+"")"),"AB")</f>
        <v>AB</v>
      </c>
      <c r="M81" s="89" t="str">
        <f aca="false">IFERROR(__xludf.dummyfunction("REGEXEXTRACT(ADDRESS(ROW(), 34+$H81), ""[A-Z]+"")"),"AH")</f>
        <v>AH</v>
      </c>
      <c r="N81" s="89" t="str">
        <f aca="false">IFERROR(__xludf.dummyfunction("REGEXEXTRACT(ADDRESS(ROW(), 37+$H81), ""[A-Z]+"")"),"AK")</f>
        <v>AK</v>
      </c>
      <c r="O81" s="89" t="str">
        <f aca="false">IFERROR(__xludf.dummyfunction("REGEXEXTRACT(ADDRESS(ROW(), 38+$H81), ""[A-Z]+"")"),"AL")</f>
        <v>AL</v>
      </c>
      <c r="P81" s="89" t="str">
        <f aca="false">IFERROR(__xludf.dummyfunction("REGEXEXTRACT(ADDRESS(ROW(), 39+$H81), ""[A-Z]+"")"),"AM")</f>
        <v>AM</v>
      </c>
      <c r="Q81" s="89" t="str">
        <f aca="false">IFERROR(__xludf.dummyfunction("REGEXEXTRACT(ADDRESS(ROW(), 40+$H81), ""[A-Z]+"")"),"AN")</f>
        <v>AN</v>
      </c>
      <c r="R81" s="89" t="n">
        <f aca="false">IFERROR(__xludf.dummyfunction("IFERROR(QUERY(INDIRECT(""'""&amp;$F81&amp;""'!C3:""&amp;Q81&amp;""""), ""SELECT ""&amp;I81&amp;"", ""&amp;J81&amp;"", ""&amp;K81&amp;"", ""&amp;L81&amp;"", ""&amp;M81&amp;"", ""&amp;N81&amp;"", ""&amp;O81&amp;"", ""&amp;P81&amp;"" WHERE '""&amp;B81&amp;""' CONTAINS D"", 0), """")"),14)</f>
        <v>14</v>
      </c>
      <c r="S81" s="89" t="n">
        <f aca="false">IFERROR(__xludf.dummyfunction("""COMPUTED_VALUE"""),12)</f>
        <v>12</v>
      </c>
      <c r="T81" s="89"/>
      <c r="U81" s="89"/>
      <c r="V81" s="89" t="n">
        <f aca="false">IFERROR(__xludf.dummyfunction("""COMPUTED_VALUE"""),6)</f>
        <v>6</v>
      </c>
      <c r="W81" s="89"/>
      <c r="X81" s="89" t="n">
        <f aca="false">IFERROR(__xludf.dummyfunction("""COMPUTED_VALUE"""),28)</f>
        <v>28</v>
      </c>
      <c r="Y81" s="89" t="n">
        <f aca="false">IFERROR(__xludf.dummyfunction("""COMPUTED_VALUE"""),60)</f>
        <v>60</v>
      </c>
    </row>
    <row r="82" customFormat="false" ht="17.9" hidden="false" customHeight="false" outlineLevel="0" collapsed="false">
      <c r="A82" s="85" t="n">
        <v>81</v>
      </c>
      <c r="B82" s="85" t="n">
        <v>407868</v>
      </c>
      <c r="C82" s="86" t="s">
        <v>180</v>
      </c>
      <c r="D82" s="87" t="s">
        <v>127</v>
      </c>
      <c r="E82" s="88" t="str">
        <f aca="false">D82</f>
        <v>P3131</v>
      </c>
      <c r="F82" s="88" t="str">
        <f aca="false">REPLACE(E82, 1, 3, "")</f>
        <v>31</v>
      </c>
      <c r="G82" s="89" t="str">
        <f aca="true">IFERROR(VLOOKUP(B82,INDIRECT("'"&amp;$F82&amp;"'!D3:D"),1,FALSE()), "Not found")</f>
        <v>Not found</v>
      </c>
      <c r="H82" s="89" t="n">
        <f aca="true">INDIRECT("'"&amp;$F82&amp;"'!D1")</f>
        <v>0</v>
      </c>
      <c r="I82" s="89" t="str">
        <f aca="false">IFERROR(__xludf.dummyfunction("REGEXEXTRACT(ADDRESS(ROW(), 19+$H82), ""[A-Z]+"")"),"S")</f>
        <v>S</v>
      </c>
      <c r="J82" s="89" t="str">
        <f aca="false">IFERROR(__xludf.dummyfunction("REGEXEXTRACT(ADDRESS(ROW(), 25+$H82), ""[A-Z]+"")"),"Y")</f>
        <v>Y</v>
      </c>
      <c r="K82" s="89" t="str">
        <f aca="false">IFERROR(__xludf.dummyfunction("REGEXEXTRACT(ADDRESS(ROW(), 27+$H82), ""[A-Z]+"")"),"AA")</f>
        <v>AA</v>
      </c>
      <c r="L82" s="89" t="str">
        <f aca="false">IFERROR(__xludf.dummyfunction("REGEXEXTRACT(ADDRESS(ROW(), 28+$H82), ""[A-Z]+"")"),"AB")</f>
        <v>AB</v>
      </c>
      <c r="M82" s="89" t="str">
        <f aca="false">IFERROR(__xludf.dummyfunction("REGEXEXTRACT(ADDRESS(ROW(), 34+$H82), ""[A-Z]+"")"),"AH")</f>
        <v>AH</v>
      </c>
      <c r="N82" s="89" t="str">
        <f aca="false">IFERROR(__xludf.dummyfunction("REGEXEXTRACT(ADDRESS(ROW(), 37+$H82), ""[A-Z]+"")"),"AK")</f>
        <v>AK</v>
      </c>
      <c r="O82" s="89" t="str">
        <f aca="false">IFERROR(__xludf.dummyfunction("REGEXEXTRACT(ADDRESS(ROW(), 38+$H82), ""[A-Z]+"")"),"AL")</f>
        <v>AL</v>
      </c>
      <c r="P82" s="89" t="str">
        <f aca="false">IFERROR(__xludf.dummyfunction("REGEXEXTRACT(ADDRESS(ROW(), 39+$H82), ""[A-Z]+"")"),"AM")</f>
        <v>AM</v>
      </c>
      <c r="Q82" s="89" t="str">
        <f aca="false">IFERROR(__xludf.dummyfunction("REGEXEXTRACT(ADDRESS(ROW(), 40+$H82), ""[A-Z]+"")"),"AN")</f>
        <v>AN</v>
      </c>
      <c r="R82" s="89" t="n">
        <f aca="false">IFERROR(__xludf.dummyfunction("IFERROR(QUERY(INDIRECT(""'""&amp;$F82&amp;""'!C3:""&amp;Q82&amp;""""), ""SELECT ""&amp;I82&amp;"", ""&amp;J82&amp;"", ""&amp;K82&amp;"", ""&amp;L82&amp;"", ""&amp;M82&amp;"", ""&amp;N82&amp;"", ""&amp;O82&amp;"", ""&amp;P82&amp;"" WHERE '""&amp;B82&amp;""' CONTAINS D"", 0), """")"),13.5)</f>
        <v>13.5</v>
      </c>
      <c r="S82" s="89" t="n">
        <f aca="false">IFERROR(__xludf.dummyfunction("""COMPUTED_VALUE"""),14)</f>
        <v>14</v>
      </c>
      <c r="T82" s="89"/>
      <c r="U82" s="89"/>
      <c r="V82" s="89" t="n">
        <f aca="false">IFERROR(__xludf.dummyfunction("""COMPUTED_VALUE"""),6)</f>
        <v>6</v>
      </c>
      <c r="W82" s="89"/>
      <c r="X82" s="89" t="n">
        <f aca="false">IFERROR(__xludf.dummyfunction("""COMPUTED_VALUE"""),40)</f>
        <v>40</v>
      </c>
      <c r="Y82" s="89" t="n">
        <f aca="false">IFERROR(__xludf.dummyfunction("""COMPUTED_VALUE"""),73.5)</f>
        <v>73.5</v>
      </c>
    </row>
    <row r="83" customFormat="false" ht="17.9" hidden="false" customHeight="false" outlineLevel="0" collapsed="false">
      <c r="A83" s="85" t="n">
        <v>82</v>
      </c>
      <c r="B83" s="85" t="n">
        <v>471890</v>
      </c>
      <c r="C83" s="86" t="s">
        <v>181</v>
      </c>
      <c r="D83" s="87" t="s">
        <v>87</v>
      </c>
      <c r="E83" s="88" t="str">
        <f aca="false">D83</f>
        <v>P3130</v>
      </c>
      <c r="F83" s="88" t="str">
        <f aca="false">REPLACE(E83, 1, 3, "")</f>
        <v>30</v>
      </c>
      <c r="G83" s="89" t="str">
        <f aca="true">IFERROR(VLOOKUP(B83,INDIRECT("'"&amp;$F83&amp;"'!D3:D"),1,FALSE()), "Not found")</f>
        <v>Not found</v>
      </c>
      <c r="H83" s="89" t="n">
        <f aca="true">INDIRECT("'"&amp;$F83&amp;"'!D1")</f>
        <v>0</v>
      </c>
      <c r="I83" s="89" t="str">
        <f aca="false">IFERROR(__xludf.dummyfunction("REGEXEXTRACT(ADDRESS(ROW(), 19+$H83), ""[A-Z]+"")"),"S")</f>
        <v>S</v>
      </c>
      <c r="J83" s="89" t="str">
        <f aca="false">IFERROR(__xludf.dummyfunction("REGEXEXTRACT(ADDRESS(ROW(), 25+$H83), ""[A-Z]+"")"),"Y")</f>
        <v>Y</v>
      </c>
      <c r="K83" s="89" t="str">
        <f aca="false">IFERROR(__xludf.dummyfunction("REGEXEXTRACT(ADDRESS(ROW(), 27+$H83), ""[A-Z]+"")"),"AA")</f>
        <v>AA</v>
      </c>
      <c r="L83" s="89" t="str">
        <f aca="false">IFERROR(__xludf.dummyfunction("REGEXEXTRACT(ADDRESS(ROW(), 28+$H83), ""[A-Z]+"")"),"AB")</f>
        <v>AB</v>
      </c>
      <c r="M83" s="89" t="str">
        <f aca="false">IFERROR(__xludf.dummyfunction("REGEXEXTRACT(ADDRESS(ROW(), 34+$H83), ""[A-Z]+"")"),"AH")</f>
        <v>AH</v>
      </c>
      <c r="N83" s="89" t="str">
        <f aca="false">IFERROR(__xludf.dummyfunction("REGEXEXTRACT(ADDRESS(ROW(), 37+$H83), ""[A-Z]+"")"),"AK")</f>
        <v>AK</v>
      </c>
      <c r="O83" s="89" t="str">
        <f aca="false">IFERROR(__xludf.dummyfunction("REGEXEXTRACT(ADDRESS(ROW(), 38+$H83), ""[A-Z]+"")"),"AL")</f>
        <v>AL</v>
      </c>
      <c r="P83" s="89" t="str">
        <f aca="false">IFERROR(__xludf.dummyfunction("REGEXEXTRACT(ADDRESS(ROW(), 39+$H83), ""[A-Z]+"")"),"AM")</f>
        <v>AM</v>
      </c>
      <c r="Q83" s="89" t="str">
        <f aca="false">IFERROR(__xludf.dummyfunction("REGEXEXTRACT(ADDRESS(ROW(), 40+$H83), ""[A-Z]+"")"),"AN")</f>
        <v>AN</v>
      </c>
      <c r="R83" s="89" t="n">
        <f aca="false">IFERROR(__xludf.dummyfunction("IFERROR(QUERY(INDIRECT(""'""&amp;$F83&amp;""'!C3:""&amp;Q83&amp;""""), ""SELECT ""&amp;I83&amp;"", ""&amp;J83&amp;"", ""&amp;K83&amp;"", ""&amp;L83&amp;"", ""&amp;M83&amp;"", ""&amp;N83&amp;"", ""&amp;O83&amp;"", ""&amp;P83&amp;"" WHERE '""&amp;B83&amp;""' CONTAINS D"", 0), """")"),14)</f>
        <v>14</v>
      </c>
      <c r="S83" s="89" t="n">
        <f aca="false">IFERROR(__xludf.dummyfunction("""COMPUTED_VALUE"""),18)</f>
        <v>18</v>
      </c>
      <c r="T83" s="89"/>
      <c r="U83" s="89"/>
      <c r="V83" s="89" t="n">
        <f aca="false">IFERROR(__xludf.dummyfunction("""COMPUTED_VALUE"""),6)</f>
        <v>6</v>
      </c>
      <c r="W83" s="89"/>
      <c r="X83" s="89" t="n">
        <f aca="false">IFERROR(__xludf.dummyfunction("""COMPUTED_VALUE"""),40)</f>
        <v>40</v>
      </c>
      <c r="Y83" s="89" t="n">
        <f aca="false">IFERROR(__xludf.dummyfunction("""COMPUTED_VALUE"""),78)</f>
        <v>78</v>
      </c>
    </row>
    <row r="84" customFormat="false" ht="17.9" hidden="false" customHeight="false" outlineLevel="0" collapsed="false">
      <c r="A84" s="85" t="n">
        <v>83</v>
      </c>
      <c r="B84" s="85" t="n">
        <v>465774</v>
      </c>
      <c r="C84" s="86" t="s">
        <v>182</v>
      </c>
      <c r="D84" s="87" t="s">
        <v>183</v>
      </c>
      <c r="E84" s="88" t="str">
        <f aca="false">D84</f>
        <v>P3107</v>
      </c>
      <c r="F84" s="88" t="str">
        <f aca="false">REPLACE(E84, 1, 3, "")</f>
        <v>07</v>
      </c>
      <c r="G84" s="89" t="n">
        <f aca="true">IFERROR(VLOOKUP(B84,INDIRECT("'"&amp;$F84&amp;"'!D3:D"),1,FALSE()), "Not found")</f>
        <v>465774</v>
      </c>
      <c r="H84" s="89" t="n">
        <f aca="true">INDIRECT("'"&amp;$F84&amp;"'!D1")</f>
        <v>0</v>
      </c>
      <c r="I84" s="89" t="str">
        <f aca="false">IFERROR(__xludf.dummyfunction("REGEXEXTRACT(ADDRESS(ROW(), 19+$H84), ""[A-Z]+"")"),"S")</f>
        <v>S</v>
      </c>
      <c r="J84" s="89" t="str">
        <f aca="false">IFERROR(__xludf.dummyfunction("REGEXEXTRACT(ADDRESS(ROW(), 25+$H84), ""[A-Z]+"")"),"Y")</f>
        <v>Y</v>
      </c>
      <c r="K84" s="89" t="str">
        <f aca="false">IFERROR(__xludf.dummyfunction("REGEXEXTRACT(ADDRESS(ROW(), 27+$H84), ""[A-Z]+"")"),"AA")</f>
        <v>AA</v>
      </c>
      <c r="L84" s="89" t="str">
        <f aca="false">IFERROR(__xludf.dummyfunction("REGEXEXTRACT(ADDRESS(ROW(), 28+$H84), ""[A-Z]+"")"),"AB")</f>
        <v>AB</v>
      </c>
      <c r="M84" s="89" t="str">
        <f aca="false">IFERROR(__xludf.dummyfunction("REGEXEXTRACT(ADDRESS(ROW(), 34+$H84), ""[A-Z]+"")"),"AH")</f>
        <v>AH</v>
      </c>
      <c r="N84" s="89" t="str">
        <f aca="false">IFERROR(__xludf.dummyfunction("REGEXEXTRACT(ADDRESS(ROW(), 37+$H84), ""[A-Z]+"")"),"AK")</f>
        <v>AK</v>
      </c>
      <c r="O84" s="89" t="str">
        <f aca="false">IFERROR(__xludf.dummyfunction("REGEXEXTRACT(ADDRESS(ROW(), 38+$H84), ""[A-Z]+"")"),"AL")</f>
        <v>AL</v>
      </c>
      <c r="P84" s="89" t="str">
        <f aca="false">IFERROR(__xludf.dummyfunction("REGEXEXTRACT(ADDRESS(ROW(), 39+$H84), ""[A-Z]+"")"),"AM")</f>
        <v>AM</v>
      </c>
      <c r="Q84" s="89" t="str">
        <f aca="false">IFERROR(__xludf.dummyfunction("REGEXEXTRACT(ADDRESS(ROW(), 40+$H84), ""[A-Z]+"")"),"AN")</f>
        <v>AN</v>
      </c>
      <c r="R84" s="89" t="n">
        <f aca="false">IFERROR(__xludf.dummyfunction("IFERROR(QUERY(INDIRECT(""'""&amp;$F84&amp;""'!C3:""&amp;Q84&amp;""""), ""SELECT ""&amp;I84&amp;"", ""&amp;J84&amp;"", ""&amp;K84&amp;"", ""&amp;L84&amp;"", ""&amp;M84&amp;"", ""&amp;N84&amp;"", ""&amp;O84&amp;"", ""&amp;P84&amp;"" WHERE '""&amp;B84&amp;""' CONTAINS D"", 0), """")"),20)</f>
        <v>20</v>
      </c>
      <c r="S84" s="89" t="n">
        <f aca="false">IFERROR(__xludf.dummyfunction("""COMPUTED_VALUE"""),19.5)</f>
        <v>19.5</v>
      </c>
      <c r="T84" s="89"/>
      <c r="U84" s="89"/>
      <c r="V84" s="89" t="n">
        <f aca="false">IFERROR(__xludf.dummyfunction("""COMPUTED_VALUE"""),10)</f>
        <v>10</v>
      </c>
      <c r="W84" s="89"/>
      <c r="X84" s="89" t="n">
        <f aca="false">IFERROR(__xludf.dummyfunction("""COMPUTED_VALUE"""),40)</f>
        <v>40</v>
      </c>
      <c r="Y84" s="89" t="n">
        <f aca="false">IFERROR(__xludf.dummyfunction("""COMPUTED_VALUE"""),89.5)</f>
        <v>89.5</v>
      </c>
    </row>
    <row r="85" customFormat="false" ht="17.9" hidden="false" customHeight="false" outlineLevel="0" collapsed="false">
      <c r="A85" s="85" t="n">
        <v>84</v>
      </c>
      <c r="B85" s="85" t="n">
        <v>474277</v>
      </c>
      <c r="C85" s="86" t="s">
        <v>184</v>
      </c>
      <c r="D85" s="87" t="s">
        <v>151</v>
      </c>
      <c r="E85" s="88" t="str">
        <f aca="false">D85</f>
        <v>P3122</v>
      </c>
      <c r="F85" s="88" t="str">
        <f aca="false">REPLACE(E85, 1, 3, "")</f>
        <v>22</v>
      </c>
      <c r="G85" s="89" t="str">
        <f aca="true">IFERROR(VLOOKUP(B85,INDIRECT("'"&amp;$F85&amp;"'!D3:D"),1,FALSE()), "Not found")</f>
        <v>Not found</v>
      </c>
      <c r="H85" s="89" t="n">
        <f aca="true">INDIRECT("'"&amp;$F85&amp;"'!D1")</f>
        <v>0</v>
      </c>
      <c r="I85" s="89" t="str">
        <f aca="false">IFERROR(__xludf.dummyfunction("REGEXEXTRACT(ADDRESS(ROW(), 19+$H85), ""[A-Z]+"")"),"S")</f>
        <v>S</v>
      </c>
      <c r="J85" s="89" t="str">
        <f aca="false">IFERROR(__xludf.dummyfunction("REGEXEXTRACT(ADDRESS(ROW(), 25+$H85), ""[A-Z]+"")"),"Y")</f>
        <v>Y</v>
      </c>
      <c r="K85" s="89" t="str">
        <f aca="false">IFERROR(__xludf.dummyfunction("REGEXEXTRACT(ADDRESS(ROW(), 27+$H85), ""[A-Z]+"")"),"AA")</f>
        <v>AA</v>
      </c>
      <c r="L85" s="89" t="str">
        <f aca="false">IFERROR(__xludf.dummyfunction("REGEXEXTRACT(ADDRESS(ROW(), 28+$H85), ""[A-Z]+"")"),"AB")</f>
        <v>AB</v>
      </c>
      <c r="M85" s="89" t="str">
        <f aca="false">IFERROR(__xludf.dummyfunction("REGEXEXTRACT(ADDRESS(ROW(), 34+$H85), ""[A-Z]+"")"),"AH")</f>
        <v>AH</v>
      </c>
      <c r="N85" s="89" t="str">
        <f aca="false">IFERROR(__xludf.dummyfunction("REGEXEXTRACT(ADDRESS(ROW(), 37+$H85), ""[A-Z]+"")"),"AK")</f>
        <v>AK</v>
      </c>
      <c r="O85" s="89" t="str">
        <f aca="false">IFERROR(__xludf.dummyfunction("REGEXEXTRACT(ADDRESS(ROW(), 38+$H85), ""[A-Z]+"")"),"AL")</f>
        <v>AL</v>
      </c>
      <c r="P85" s="89" t="str">
        <f aca="false">IFERROR(__xludf.dummyfunction("REGEXEXTRACT(ADDRESS(ROW(), 39+$H85), ""[A-Z]+"")"),"AM")</f>
        <v>AM</v>
      </c>
      <c r="Q85" s="89" t="str">
        <f aca="false">IFERROR(__xludf.dummyfunction("REGEXEXTRACT(ADDRESS(ROW(), 40+$H85), ""[A-Z]+"")"),"AN")</f>
        <v>AN</v>
      </c>
      <c r="R85" s="89" t="n">
        <f aca="false">IFERROR(__xludf.dummyfunction("IFERROR(QUERY(INDIRECT(""'""&amp;$F85&amp;""'!C3:""&amp;Q85&amp;""""), ""SELECT ""&amp;I85&amp;"", ""&amp;J85&amp;"", ""&amp;K85&amp;"", ""&amp;L85&amp;"", ""&amp;M85&amp;"", ""&amp;N85&amp;"", ""&amp;O85&amp;"", ""&amp;P85&amp;"" WHERE '""&amp;B85&amp;""' CONTAINS D"", 0), """")"),18)</f>
        <v>18</v>
      </c>
      <c r="S85" s="89" t="n">
        <f aca="false">IFERROR(__xludf.dummyfunction("""COMPUTED_VALUE"""),17.5)</f>
        <v>17.5</v>
      </c>
      <c r="T85" s="89"/>
      <c r="U85" s="89"/>
      <c r="V85" s="89" t="n">
        <f aca="false">IFERROR(__xludf.dummyfunction("""COMPUTED_VALUE"""),6)</f>
        <v>6</v>
      </c>
      <c r="W85" s="89"/>
      <c r="X85" s="89" t="n">
        <f aca="false">IFERROR(__xludf.dummyfunction("""COMPUTED_VALUE"""),30)</f>
        <v>30</v>
      </c>
      <c r="Y85" s="89" t="n">
        <f aca="false">IFERROR(__xludf.dummyfunction("""COMPUTED_VALUE"""),71.5)</f>
        <v>71.5</v>
      </c>
    </row>
    <row r="86" customFormat="false" ht="17.9" hidden="false" customHeight="false" outlineLevel="0" collapsed="false">
      <c r="A86" s="85" t="n">
        <v>85</v>
      </c>
      <c r="B86" s="85" t="n">
        <v>465798</v>
      </c>
      <c r="C86" s="86" t="s">
        <v>185</v>
      </c>
      <c r="D86" s="87" t="s">
        <v>157</v>
      </c>
      <c r="E86" s="88" t="str">
        <f aca="false">D86</f>
        <v>P3123</v>
      </c>
      <c r="F86" s="88" t="str">
        <f aca="false">REPLACE(E86, 1, 3, "")</f>
        <v>23</v>
      </c>
      <c r="G86" s="89" t="str">
        <f aca="true">IFERROR(VLOOKUP(B86,INDIRECT("'"&amp;$F86&amp;"'!D3:D"),1,FALSE()), "Not found")</f>
        <v>Not found</v>
      </c>
      <c r="H86" s="89" t="n">
        <f aca="true">INDIRECT("'"&amp;$F86&amp;"'!D1")</f>
        <v>1</v>
      </c>
      <c r="I86" s="89" t="str">
        <f aca="false">IFERROR(__xludf.dummyfunction("REGEXEXTRACT(ADDRESS(ROW(), 19+$H86), ""[A-Z]+"")"),"T")</f>
        <v>T</v>
      </c>
      <c r="J86" s="89" t="str">
        <f aca="false">IFERROR(__xludf.dummyfunction("REGEXEXTRACT(ADDRESS(ROW(), 25+$H86), ""[A-Z]+"")"),"Z")</f>
        <v>Z</v>
      </c>
      <c r="K86" s="89" t="str">
        <f aca="false">IFERROR(__xludf.dummyfunction("REGEXEXTRACT(ADDRESS(ROW(), 27+$H86), ""[A-Z]+"")"),"AB")</f>
        <v>AB</v>
      </c>
      <c r="L86" s="89" t="str">
        <f aca="false">IFERROR(__xludf.dummyfunction("REGEXEXTRACT(ADDRESS(ROW(), 28+$H86), ""[A-Z]+"")"),"AC")</f>
        <v>AC</v>
      </c>
      <c r="M86" s="89" t="str">
        <f aca="false">IFERROR(__xludf.dummyfunction("REGEXEXTRACT(ADDRESS(ROW(), 34+$H86), ""[A-Z]+"")"),"AI")</f>
        <v>AI</v>
      </c>
      <c r="N86" s="89" t="str">
        <f aca="false">IFERROR(__xludf.dummyfunction("REGEXEXTRACT(ADDRESS(ROW(), 37+$H86), ""[A-Z]+"")"),"AL")</f>
        <v>AL</v>
      </c>
      <c r="O86" s="89" t="str">
        <f aca="false">IFERROR(__xludf.dummyfunction("REGEXEXTRACT(ADDRESS(ROW(), 38+$H86), ""[A-Z]+"")"),"AM")</f>
        <v>AM</v>
      </c>
      <c r="P86" s="89" t="str">
        <f aca="false">IFERROR(__xludf.dummyfunction("REGEXEXTRACT(ADDRESS(ROW(), 39+$H86), ""[A-Z]+"")"),"AN")</f>
        <v>AN</v>
      </c>
      <c r="Q86" s="89" t="str">
        <f aca="false">IFERROR(__xludf.dummyfunction("REGEXEXTRACT(ADDRESS(ROW(), 40+$H86), ""[A-Z]+"")"),"AO")</f>
        <v>AO</v>
      </c>
      <c r="R86" s="89" t="n">
        <f aca="false">IFERROR(__xludf.dummyfunction("IFERROR(QUERY(INDIRECT(""'""&amp;$F86&amp;""'!C3:""&amp;Q86&amp;""""), ""SELECT ""&amp;I86&amp;"", ""&amp;J86&amp;"", ""&amp;K86&amp;"", ""&amp;L86&amp;"", ""&amp;M86&amp;"", ""&amp;N86&amp;"", ""&amp;O86&amp;"", ""&amp;P86&amp;"" WHERE '""&amp;B86&amp;""' CONTAINS D"", 0), """")"),12)</f>
        <v>12</v>
      </c>
      <c r="S86" s="89" t="n">
        <f aca="false">IFERROR(__xludf.dummyfunction("""COMPUTED_VALUE"""),12)</f>
        <v>12</v>
      </c>
      <c r="T86" s="89"/>
      <c r="U86" s="89"/>
      <c r="V86" s="89" t="n">
        <f aca="false">IFERROR(__xludf.dummyfunction("""COMPUTED_VALUE"""),6)</f>
        <v>6</v>
      </c>
      <c r="W86" s="89"/>
      <c r="X86" s="89" t="n">
        <f aca="false">IFERROR(__xludf.dummyfunction("""COMPUTED_VALUE"""),31)</f>
        <v>31</v>
      </c>
      <c r="Y86" s="89" t="n">
        <f aca="false">IFERROR(__xludf.dummyfunction("""COMPUTED_VALUE"""),61)</f>
        <v>61</v>
      </c>
    </row>
    <row r="87" customFormat="false" ht="17.9" hidden="false" customHeight="false" outlineLevel="0" collapsed="false">
      <c r="A87" s="85" t="n">
        <v>86</v>
      </c>
      <c r="B87" s="85" t="n">
        <v>465808</v>
      </c>
      <c r="C87" s="86" t="s">
        <v>186</v>
      </c>
      <c r="D87" s="87" t="s">
        <v>81</v>
      </c>
      <c r="E87" s="88" t="str">
        <f aca="false">D87</f>
        <v>P3108</v>
      </c>
      <c r="F87" s="88" t="str">
        <f aca="false">REPLACE(E87, 1, 3, "")</f>
        <v>08</v>
      </c>
      <c r="G87" s="89" t="str">
        <f aca="true">IFERROR(VLOOKUP(B87,INDIRECT("'"&amp;$F87&amp;"'!D3:D"),1,FALSE()), "Not found")</f>
        <v>Not found</v>
      </c>
      <c r="H87" s="89" t="n">
        <f aca="true">INDIRECT("'"&amp;$F87&amp;"'!D1")</f>
        <v>0</v>
      </c>
      <c r="I87" s="89" t="str">
        <f aca="false">IFERROR(__xludf.dummyfunction("REGEXEXTRACT(ADDRESS(ROW(), 19+$H87), ""[A-Z]+"")"),"S")</f>
        <v>S</v>
      </c>
      <c r="J87" s="89" t="str">
        <f aca="false">IFERROR(__xludf.dummyfunction("REGEXEXTRACT(ADDRESS(ROW(), 25+$H87), ""[A-Z]+"")"),"Y")</f>
        <v>Y</v>
      </c>
      <c r="K87" s="89" t="str">
        <f aca="false">IFERROR(__xludf.dummyfunction("REGEXEXTRACT(ADDRESS(ROW(), 27+$H87), ""[A-Z]+"")"),"AA")</f>
        <v>AA</v>
      </c>
      <c r="L87" s="89" t="str">
        <f aca="false">IFERROR(__xludf.dummyfunction("REGEXEXTRACT(ADDRESS(ROW(), 28+$H87), ""[A-Z]+"")"),"AB")</f>
        <v>AB</v>
      </c>
      <c r="M87" s="89" t="str">
        <f aca="false">IFERROR(__xludf.dummyfunction("REGEXEXTRACT(ADDRESS(ROW(), 34+$H87), ""[A-Z]+"")"),"AH")</f>
        <v>AH</v>
      </c>
      <c r="N87" s="89" t="str">
        <f aca="false">IFERROR(__xludf.dummyfunction("REGEXEXTRACT(ADDRESS(ROW(), 37+$H87), ""[A-Z]+"")"),"AK")</f>
        <v>AK</v>
      </c>
      <c r="O87" s="89" t="str">
        <f aca="false">IFERROR(__xludf.dummyfunction("REGEXEXTRACT(ADDRESS(ROW(), 38+$H87), ""[A-Z]+"")"),"AL")</f>
        <v>AL</v>
      </c>
      <c r="P87" s="89" t="str">
        <f aca="false">IFERROR(__xludf.dummyfunction("REGEXEXTRACT(ADDRESS(ROW(), 39+$H87), ""[A-Z]+"")"),"AM")</f>
        <v>AM</v>
      </c>
      <c r="Q87" s="89" t="str">
        <f aca="false">IFERROR(__xludf.dummyfunction("REGEXEXTRACT(ADDRESS(ROW(), 40+$H87), ""[A-Z]+"")"),"AN")</f>
        <v>AN</v>
      </c>
      <c r="R87" s="89" t="n">
        <f aca="false">IFERROR(__xludf.dummyfunction("IFERROR(QUERY(INDIRECT(""'""&amp;$F87&amp;""'!C3:""&amp;Q87&amp;""""), ""SELECT ""&amp;I87&amp;"", ""&amp;J87&amp;"", ""&amp;K87&amp;"", ""&amp;L87&amp;"", ""&amp;M87&amp;"", ""&amp;N87&amp;"", ""&amp;O87&amp;"", ""&amp;P87&amp;"" WHERE '""&amp;B87&amp;""' CONTAINS D"", 0), """")"),17)</f>
        <v>17</v>
      </c>
      <c r="S87" s="89" t="n">
        <f aca="false">IFERROR(__xludf.dummyfunction("""COMPUTED_VALUE"""),15)</f>
        <v>15</v>
      </c>
      <c r="T87" s="89"/>
      <c r="U87" s="89"/>
      <c r="V87" s="89" t="n">
        <f aca="false">IFERROR(__xludf.dummyfunction("""COMPUTED_VALUE"""),10)</f>
        <v>10</v>
      </c>
      <c r="W87" s="89"/>
      <c r="X87" s="89" t="n">
        <f aca="false">IFERROR(__xludf.dummyfunction("""COMPUTED_VALUE"""),40)</f>
        <v>40</v>
      </c>
      <c r="Y87" s="89" t="n">
        <f aca="false">IFERROR(__xludf.dummyfunction("""COMPUTED_VALUE"""),82)</f>
        <v>82</v>
      </c>
    </row>
    <row r="88" customFormat="false" ht="17.9" hidden="false" customHeight="false" outlineLevel="0" collapsed="false">
      <c r="A88" s="85" t="n">
        <v>87</v>
      </c>
      <c r="B88" s="85" t="n">
        <v>465824</v>
      </c>
      <c r="C88" s="86" t="s">
        <v>187</v>
      </c>
      <c r="D88" s="87" t="s">
        <v>127</v>
      </c>
      <c r="E88" s="88" t="str">
        <f aca="false">D88</f>
        <v>P3131</v>
      </c>
      <c r="F88" s="88" t="str">
        <f aca="false">REPLACE(E88, 1, 3, "")</f>
        <v>31</v>
      </c>
      <c r="G88" s="89" t="str">
        <f aca="true">IFERROR(VLOOKUP(B88,INDIRECT("'"&amp;$F88&amp;"'!D3:D"),1,FALSE()), "Not found")</f>
        <v>Not found</v>
      </c>
      <c r="H88" s="89" t="n">
        <f aca="true">INDIRECT("'"&amp;$F88&amp;"'!D1")</f>
        <v>0</v>
      </c>
      <c r="I88" s="89" t="str">
        <f aca="false">IFERROR(__xludf.dummyfunction("REGEXEXTRACT(ADDRESS(ROW(), 19+$H88), ""[A-Z]+"")"),"S")</f>
        <v>S</v>
      </c>
      <c r="J88" s="89" t="str">
        <f aca="false">IFERROR(__xludf.dummyfunction("REGEXEXTRACT(ADDRESS(ROW(), 25+$H88), ""[A-Z]+"")"),"Y")</f>
        <v>Y</v>
      </c>
      <c r="K88" s="89" t="str">
        <f aca="false">IFERROR(__xludf.dummyfunction("REGEXEXTRACT(ADDRESS(ROW(), 27+$H88), ""[A-Z]+"")"),"AA")</f>
        <v>AA</v>
      </c>
      <c r="L88" s="89" t="str">
        <f aca="false">IFERROR(__xludf.dummyfunction("REGEXEXTRACT(ADDRESS(ROW(), 28+$H88), ""[A-Z]+"")"),"AB")</f>
        <v>AB</v>
      </c>
      <c r="M88" s="89" t="str">
        <f aca="false">IFERROR(__xludf.dummyfunction("REGEXEXTRACT(ADDRESS(ROW(), 34+$H88), ""[A-Z]+"")"),"AH")</f>
        <v>AH</v>
      </c>
      <c r="N88" s="89" t="str">
        <f aca="false">IFERROR(__xludf.dummyfunction("REGEXEXTRACT(ADDRESS(ROW(), 37+$H88), ""[A-Z]+"")"),"AK")</f>
        <v>AK</v>
      </c>
      <c r="O88" s="89" t="str">
        <f aca="false">IFERROR(__xludf.dummyfunction("REGEXEXTRACT(ADDRESS(ROW(), 38+$H88), ""[A-Z]+"")"),"AL")</f>
        <v>AL</v>
      </c>
      <c r="P88" s="89" t="str">
        <f aca="false">IFERROR(__xludf.dummyfunction("REGEXEXTRACT(ADDRESS(ROW(), 39+$H88), ""[A-Z]+"")"),"AM")</f>
        <v>AM</v>
      </c>
      <c r="Q88" s="89" t="str">
        <f aca="false">IFERROR(__xludf.dummyfunction("REGEXEXTRACT(ADDRESS(ROW(), 40+$H88), ""[A-Z]+"")"),"AN")</f>
        <v>AN</v>
      </c>
      <c r="R88" s="89" t="n">
        <f aca="false">IFERROR(__xludf.dummyfunction("IFERROR(QUERY(INDIRECT(""'""&amp;$F88&amp;""'!C3:""&amp;Q88&amp;""""), ""SELECT ""&amp;I88&amp;"", ""&amp;J88&amp;"", ""&amp;K88&amp;"", ""&amp;L88&amp;"", ""&amp;M88&amp;"", ""&amp;N88&amp;"", ""&amp;O88&amp;"", ""&amp;P88&amp;"" WHERE '""&amp;B88&amp;""' CONTAINS D"", 0), """")"),19)</f>
        <v>19</v>
      </c>
      <c r="S88" s="89" t="n">
        <f aca="false">IFERROR(__xludf.dummyfunction("""COMPUTED_VALUE"""),17.5)</f>
        <v>17.5</v>
      </c>
      <c r="T88" s="89"/>
      <c r="U88" s="89"/>
      <c r="V88" s="89" t="n">
        <f aca="false">IFERROR(__xludf.dummyfunction("""COMPUTED_VALUE"""),10)</f>
        <v>10</v>
      </c>
      <c r="W88" s="89"/>
      <c r="X88" s="89" t="n">
        <f aca="false">IFERROR(__xludf.dummyfunction("""COMPUTED_VALUE"""),40)</f>
        <v>40</v>
      </c>
      <c r="Y88" s="89" t="n">
        <f aca="false">IFERROR(__xludf.dummyfunction("""COMPUTED_VALUE"""),86.5)</f>
        <v>86.5</v>
      </c>
    </row>
    <row r="89" customFormat="false" ht="17.9" hidden="false" customHeight="false" outlineLevel="0" collapsed="false">
      <c r="A89" s="85" t="n">
        <v>88</v>
      </c>
      <c r="B89" s="85" t="n">
        <v>465826</v>
      </c>
      <c r="C89" s="86" t="s">
        <v>188</v>
      </c>
      <c r="D89" s="87" t="s">
        <v>83</v>
      </c>
      <c r="E89" s="88" t="str">
        <f aca="false">D89</f>
        <v>P3109</v>
      </c>
      <c r="F89" s="88" t="str">
        <f aca="false">REPLACE(E89, 1, 3, "")</f>
        <v>09</v>
      </c>
      <c r="G89" s="89" t="str">
        <f aca="true">IFERROR(VLOOKUP(B89,INDIRECT("'"&amp;$F89&amp;"'!D3:D"),1,FALSE()), "Not found")</f>
        <v>Not found</v>
      </c>
      <c r="H89" s="89" t="n">
        <f aca="true">INDIRECT("'"&amp;$F89&amp;"'!D1")</f>
        <v>0</v>
      </c>
      <c r="I89" s="89" t="str">
        <f aca="false">IFERROR(__xludf.dummyfunction("REGEXEXTRACT(ADDRESS(ROW(), 19+$H89), ""[A-Z]+"")"),"S")</f>
        <v>S</v>
      </c>
      <c r="J89" s="89" t="str">
        <f aca="false">IFERROR(__xludf.dummyfunction("REGEXEXTRACT(ADDRESS(ROW(), 25+$H89), ""[A-Z]+"")"),"Y")</f>
        <v>Y</v>
      </c>
      <c r="K89" s="89" t="str">
        <f aca="false">IFERROR(__xludf.dummyfunction("REGEXEXTRACT(ADDRESS(ROW(), 27+$H89), ""[A-Z]+"")"),"AA")</f>
        <v>AA</v>
      </c>
      <c r="L89" s="89" t="str">
        <f aca="false">IFERROR(__xludf.dummyfunction("REGEXEXTRACT(ADDRESS(ROW(), 28+$H89), ""[A-Z]+"")"),"AB")</f>
        <v>AB</v>
      </c>
      <c r="M89" s="89" t="str">
        <f aca="false">IFERROR(__xludf.dummyfunction("REGEXEXTRACT(ADDRESS(ROW(), 34+$H89), ""[A-Z]+"")"),"AH")</f>
        <v>AH</v>
      </c>
      <c r="N89" s="89" t="str">
        <f aca="false">IFERROR(__xludf.dummyfunction("REGEXEXTRACT(ADDRESS(ROW(), 37+$H89), ""[A-Z]+"")"),"AK")</f>
        <v>AK</v>
      </c>
      <c r="O89" s="89" t="str">
        <f aca="false">IFERROR(__xludf.dummyfunction("REGEXEXTRACT(ADDRESS(ROW(), 38+$H89), ""[A-Z]+"")"),"AL")</f>
        <v>AL</v>
      </c>
      <c r="P89" s="89" t="str">
        <f aca="false">IFERROR(__xludf.dummyfunction("REGEXEXTRACT(ADDRESS(ROW(), 39+$H89), ""[A-Z]+"")"),"AM")</f>
        <v>AM</v>
      </c>
      <c r="Q89" s="89" t="str">
        <f aca="false">IFERROR(__xludf.dummyfunction("REGEXEXTRACT(ADDRESS(ROW(), 40+$H89), ""[A-Z]+"")"),"AN")</f>
        <v>AN</v>
      </c>
      <c r="R89" s="89" t="n">
        <f aca="false">IFERROR(__xludf.dummyfunction("IFERROR(QUERY(INDIRECT(""'""&amp;$F89&amp;""'!C3:""&amp;Q89&amp;""""), ""SELECT ""&amp;I89&amp;"", ""&amp;J89&amp;"", ""&amp;K89&amp;"", ""&amp;L89&amp;"", ""&amp;M89&amp;"", ""&amp;N89&amp;"", ""&amp;O89&amp;"", ""&amp;P89&amp;"" WHERE '""&amp;B89&amp;""' CONTAINS D"", 0), """")"),16)</f>
        <v>16</v>
      </c>
      <c r="S89" s="89" t="n">
        <f aca="false">IFERROR(__xludf.dummyfunction("""COMPUTED_VALUE"""),17.5)</f>
        <v>17.5</v>
      </c>
      <c r="T89" s="89"/>
      <c r="U89" s="89"/>
      <c r="V89" s="89" t="n">
        <f aca="false">IFERROR(__xludf.dummyfunction("""COMPUTED_VALUE"""),6.02)</f>
        <v>6.02</v>
      </c>
      <c r="W89" s="89"/>
      <c r="X89" s="89" t="n">
        <f aca="false">IFERROR(__xludf.dummyfunction("""COMPUTED_VALUE"""),25)</f>
        <v>25</v>
      </c>
      <c r="Y89" s="89" t="n">
        <f aca="false">IFERROR(__xludf.dummyfunction("""COMPUTED_VALUE"""),64.52)</f>
        <v>64.52</v>
      </c>
    </row>
    <row r="90" customFormat="false" ht="17.9" hidden="false" customHeight="false" outlineLevel="0" collapsed="false">
      <c r="A90" s="85" t="n">
        <v>89</v>
      </c>
      <c r="B90" s="85" t="n">
        <v>471917</v>
      </c>
      <c r="C90" s="86" t="s">
        <v>189</v>
      </c>
      <c r="D90" s="87" t="s">
        <v>87</v>
      </c>
      <c r="E90" s="88" t="str">
        <f aca="false">D90</f>
        <v>P3130</v>
      </c>
      <c r="F90" s="88" t="str">
        <f aca="false">REPLACE(E90, 1, 3, "")</f>
        <v>30</v>
      </c>
      <c r="G90" s="89" t="str">
        <f aca="true">IFERROR(VLOOKUP(B90,INDIRECT("'"&amp;$F90&amp;"'!D3:D"),1,FALSE()), "Not found")</f>
        <v>Not found</v>
      </c>
      <c r="H90" s="89" t="n">
        <f aca="true">INDIRECT("'"&amp;$F90&amp;"'!D1")</f>
        <v>0</v>
      </c>
      <c r="I90" s="89" t="str">
        <f aca="false">IFERROR(__xludf.dummyfunction("REGEXEXTRACT(ADDRESS(ROW(), 19+$H90), ""[A-Z]+"")"),"S")</f>
        <v>S</v>
      </c>
      <c r="J90" s="89" t="str">
        <f aca="false">IFERROR(__xludf.dummyfunction("REGEXEXTRACT(ADDRESS(ROW(), 25+$H90), ""[A-Z]+"")"),"Y")</f>
        <v>Y</v>
      </c>
      <c r="K90" s="89" t="str">
        <f aca="false">IFERROR(__xludf.dummyfunction("REGEXEXTRACT(ADDRESS(ROW(), 27+$H90), ""[A-Z]+"")"),"AA")</f>
        <v>AA</v>
      </c>
      <c r="L90" s="89" t="str">
        <f aca="false">IFERROR(__xludf.dummyfunction("REGEXEXTRACT(ADDRESS(ROW(), 28+$H90), ""[A-Z]+"")"),"AB")</f>
        <v>AB</v>
      </c>
      <c r="M90" s="89" t="str">
        <f aca="false">IFERROR(__xludf.dummyfunction("REGEXEXTRACT(ADDRESS(ROW(), 34+$H90), ""[A-Z]+"")"),"AH")</f>
        <v>AH</v>
      </c>
      <c r="N90" s="89" t="str">
        <f aca="false">IFERROR(__xludf.dummyfunction("REGEXEXTRACT(ADDRESS(ROW(), 37+$H90), ""[A-Z]+"")"),"AK")</f>
        <v>AK</v>
      </c>
      <c r="O90" s="89" t="str">
        <f aca="false">IFERROR(__xludf.dummyfunction("REGEXEXTRACT(ADDRESS(ROW(), 38+$H90), ""[A-Z]+"")"),"AL")</f>
        <v>AL</v>
      </c>
      <c r="P90" s="89" t="str">
        <f aca="false">IFERROR(__xludf.dummyfunction("REGEXEXTRACT(ADDRESS(ROW(), 39+$H90), ""[A-Z]+"")"),"AM")</f>
        <v>AM</v>
      </c>
      <c r="Q90" s="89" t="str">
        <f aca="false">IFERROR(__xludf.dummyfunction("REGEXEXTRACT(ADDRESS(ROW(), 40+$H90), ""[A-Z]+"")"),"AN")</f>
        <v>AN</v>
      </c>
      <c r="R90" s="89" t="n">
        <f aca="false">IFERROR(__xludf.dummyfunction("IFERROR(QUERY(INDIRECT(""'""&amp;$F90&amp;""'!C3:""&amp;Q90&amp;""""), ""SELECT ""&amp;I90&amp;"", ""&amp;J90&amp;"", ""&amp;K90&amp;"", ""&amp;L90&amp;"", ""&amp;M90&amp;"", ""&amp;N90&amp;"", ""&amp;O90&amp;"", ""&amp;P90&amp;"" WHERE '""&amp;B90&amp;""' CONTAINS D"", 0), """")"),20)</f>
        <v>20</v>
      </c>
      <c r="S90" s="89" t="n">
        <f aca="false">IFERROR(__xludf.dummyfunction("""COMPUTED_VALUE"""),20)</f>
        <v>20</v>
      </c>
      <c r="T90" s="89"/>
      <c r="U90" s="89"/>
      <c r="V90" s="89" t="n">
        <f aca="false">IFERROR(__xludf.dummyfunction("""COMPUTED_VALUE"""),9)</f>
        <v>9</v>
      </c>
      <c r="W90" s="89"/>
      <c r="X90" s="89" t="n">
        <f aca="false">IFERROR(__xludf.dummyfunction("""COMPUTED_VALUE"""),40)</f>
        <v>40</v>
      </c>
      <c r="Y90" s="89" t="n">
        <f aca="false">IFERROR(__xludf.dummyfunction("""COMPUTED_VALUE"""),89)</f>
        <v>89</v>
      </c>
    </row>
    <row r="91" customFormat="false" ht="17.9" hidden="false" customHeight="false" outlineLevel="0" collapsed="false">
      <c r="A91" s="85" t="n">
        <v>90</v>
      </c>
      <c r="B91" s="85" t="n">
        <v>414549</v>
      </c>
      <c r="C91" s="86" t="s">
        <v>190</v>
      </c>
      <c r="D91" s="87" t="s">
        <v>151</v>
      </c>
      <c r="E91" s="88" t="str">
        <f aca="false">D91</f>
        <v>P3122</v>
      </c>
      <c r="F91" s="88" t="str">
        <f aca="false">REPLACE(E91, 1, 3, "")</f>
        <v>22</v>
      </c>
      <c r="G91" s="89" t="str">
        <f aca="true">IFERROR(VLOOKUP(B91,INDIRECT("'"&amp;$F91&amp;"'!D3:D"),1,FALSE()), "Not found")</f>
        <v>Not found</v>
      </c>
      <c r="H91" s="89" t="n">
        <f aca="true">INDIRECT("'"&amp;$F91&amp;"'!D1")</f>
        <v>0</v>
      </c>
      <c r="I91" s="89" t="str">
        <f aca="false">IFERROR(__xludf.dummyfunction("REGEXEXTRACT(ADDRESS(ROW(), 19+$H91), ""[A-Z]+"")"),"S")</f>
        <v>S</v>
      </c>
      <c r="J91" s="89" t="str">
        <f aca="false">IFERROR(__xludf.dummyfunction("REGEXEXTRACT(ADDRESS(ROW(), 25+$H91), ""[A-Z]+"")"),"Y")</f>
        <v>Y</v>
      </c>
      <c r="K91" s="89" t="str">
        <f aca="false">IFERROR(__xludf.dummyfunction("REGEXEXTRACT(ADDRESS(ROW(), 27+$H91), ""[A-Z]+"")"),"AA")</f>
        <v>AA</v>
      </c>
      <c r="L91" s="89" t="str">
        <f aca="false">IFERROR(__xludf.dummyfunction("REGEXEXTRACT(ADDRESS(ROW(), 28+$H91), ""[A-Z]+"")"),"AB")</f>
        <v>AB</v>
      </c>
      <c r="M91" s="89" t="str">
        <f aca="false">IFERROR(__xludf.dummyfunction("REGEXEXTRACT(ADDRESS(ROW(), 34+$H91), ""[A-Z]+"")"),"AH")</f>
        <v>AH</v>
      </c>
      <c r="N91" s="89" t="str">
        <f aca="false">IFERROR(__xludf.dummyfunction("REGEXEXTRACT(ADDRESS(ROW(), 37+$H91), ""[A-Z]+"")"),"AK")</f>
        <v>AK</v>
      </c>
      <c r="O91" s="89" t="str">
        <f aca="false">IFERROR(__xludf.dummyfunction("REGEXEXTRACT(ADDRESS(ROW(), 38+$H91), ""[A-Z]+"")"),"AL")</f>
        <v>AL</v>
      </c>
      <c r="P91" s="89" t="str">
        <f aca="false">IFERROR(__xludf.dummyfunction("REGEXEXTRACT(ADDRESS(ROW(), 39+$H91), ""[A-Z]+"")"),"AM")</f>
        <v>AM</v>
      </c>
      <c r="Q91" s="89" t="str">
        <f aca="false">IFERROR(__xludf.dummyfunction("REGEXEXTRACT(ADDRESS(ROW(), 40+$H91), ""[A-Z]+"")"),"AN")</f>
        <v>AN</v>
      </c>
      <c r="R91" s="89" t="n">
        <f aca="false">IFERROR(__xludf.dummyfunction("IFERROR(QUERY(INDIRECT(""'""&amp;$F91&amp;""'!C3:""&amp;Q91&amp;""""), ""SELECT ""&amp;I91&amp;"", ""&amp;J91&amp;"", ""&amp;K91&amp;"", ""&amp;L91&amp;"", ""&amp;M91&amp;"", ""&amp;N91&amp;"", ""&amp;O91&amp;"", ""&amp;P91&amp;"" WHERE '""&amp;B91&amp;""' CONTAINS D"", 0), """")"),18.5)</f>
        <v>18.5</v>
      </c>
      <c r="S91" s="89" t="n">
        <f aca="false">IFERROR(__xludf.dummyfunction("""COMPUTED_VALUE"""),14)</f>
        <v>14</v>
      </c>
      <c r="T91" s="89"/>
      <c r="U91" s="89"/>
      <c r="V91" s="89" t="n">
        <f aca="false">IFERROR(__xludf.dummyfunction("""COMPUTED_VALUE"""),7)</f>
        <v>7</v>
      </c>
      <c r="W91" s="89"/>
      <c r="X91" s="89" t="n">
        <f aca="false">IFERROR(__xludf.dummyfunction("""COMPUTED_VALUE"""),24)</f>
        <v>24</v>
      </c>
      <c r="Y91" s="89" t="n">
        <f aca="false">IFERROR(__xludf.dummyfunction("""COMPUTED_VALUE"""),63.5)</f>
        <v>63.5</v>
      </c>
    </row>
    <row r="92" customFormat="false" ht="17.9" hidden="false" customHeight="false" outlineLevel="0" collapsed="false">
      <c r="A92" s="85" t="n">
        <v>91</v>
      </c>
      <c r="B92" s="85" t="n">
        <v>412940</v>
      </c>
      <c r="C92" s="86" t="s">
        <v>191</v>
      </c>
      <c r="D92" s="87" t="s">
        <v>102</v>
      </c>
      <c r="E92" s="88" t="str">
        <f aca="false">D92</f>
        <v>P3110</v>
      </c>
      <c r="F92" s="88" t="str">
        <f aca="false">REPLACE(E92, 1, 3, "")</f>
        <v>10</v>
      </c>
      <c r="G92" s="89" t="str">
        <f aca="true">IFERROR(VLOOKUP(B92,INDIRECT("'"&amp;$F92&amp;"'!D3:D"),1,FALSE()), "Not found")</f>
        <v>Not found</v>
      </c>
      <c r="H92" s="89" t="n">
        <f aca="true">INDIRECT("'"&amp;$F92&amp;"'!D1")</f>
        <v>0</v>
      </c>
      <c r="I92" s="89" t="str">
        <f aca="false">IFERROR(__xludf.dummyfunction("REGEXEXTRACT(ADDRESS(ROW(), 19+$H92), ""[A-Z]+"")"),"S")</f>
        <v>S</v>
      </c>
      <c r="J92" s="89" t="str">
        <f aca="false">IFERROR(__xludf.dummyfunction("REGEXEXTRACT(ADDRESS(ROW(), 25+$H92), ""[A-Z]+"")"),"Y")</f>
        <v>Y</v>
      </c>
      <c r="K92" s="89" t="str">
        <f aca="false">IFERROR(__xludf.dummyfunction("REGEXEXTRACT(ADDRESS(ROW(), 27+$H92), ""[A-Z]+"")"),"AA")</f>
        <v>AA</v>
      </c>
      <c r="L92" s="89" t="str">
        <f aca="false">IFERROR(__xludf.dummyfunction("REGEXEXTRACT(ADDRESS(ROW(), 28+$H92), ""[A-Z]+"")"),"AB")</f>
        <v>AB</v>
      </c>
      <c r="M92" s="89" t="str">
        <f aca="false">IFERROR(__xludf.dummyfunction("REGEXEXTRACT(ADDRESS(ROW(), 34+$H92), ""[A-Z]+"")"),"AH")</f>
        <v>AH</v>
      </c>
      <c r="N92" s="89" t="str">
        <f aca="false">IFERROR(__xludf.dummyfunction("REGEXEXTRACT(ADDRESS(ROW(), 37+$H92), ""[A-Z]+"")"),"AK")</f>
        <v>AK</v>
      </c>
      <c r="O92" s="89" t="str">
        <f aca="false">IFERROR(__xludf.dummyfunction("REGEXEXTRACT(ADDRESS(ROW(), 38+$H92), ""[A-Z]+"")"),"AL")</f>
        <v>AL</v>
      </c>
      <c r="P92" s="89" t="str">
        <f aca="false">IFERROR(__xludf.dummyfunction("REGEXEXTRACT(ADDRESS(ROW(), 39+$H92), ""[A-Z]+"")"),"AM")</f>
        <v>AM</v>
      </c>
      <c r="Q92" s="89" t="str">
        <f aca="false">IFERROR(__xludf.dummyfunction("REGEXEXTRACT(ADDRESS(ROW(), 40+$H92), ""[A-Z]+"")"),"AN")</f>
        <v>AN</v>
      </c>
      <c r="R92" s="89" t="n">
        <f aca="false">IFERROR(__xludf.dummyfunction("IFERROR(QUERY(INDIRECT(""'""&amp;$F92&amp;""'!C3:""&amp;Q92&amp;""""), ""SELECT ""&amp;I92&amp;"", ""&amp;J92&amp;"", ""&amp;K92&amp;"", ""&amp;L92&amp;"", ""&amp;M92&amp;"", ""&amp;N92&amp;"", ""&amp;O92&amp;"", ""&amp;P92&amp;"" WHERE '""&amp;B92&amp;""' CONTAINS D"", 0), """")"),16)</f>
        <v>16</v>
      </c>
      <c r="S92" s="89" t="n">
        <f aca="false">IFERROR(__xludf.dummyfunction("""COMPUTED_VALUE"""),16)</f>
        <v>16</v>
      </c>
      <c r="T92" s="89"/>
      <c r="U92" s="89"/>
      <c r="V92" s="89" t="n">
        <f aca="false">IFERROR(__xludf.dummyfunction("""COMPUTED_VALUE"""),7)</f>
        <v>7</v>
      </c>
      <c r="W92" s="89"/>
      <c r="X92" s="89" t="n">
        <f aca="false">IFERROR(__xludf.dummyfunction("""COMPUTED_VALUE"""),40)</f>
        <v>40</v>
      </c>
      <c r="Y92" s="89" t="n">
        <f aca="false">IFERROR(__xludf.dummyfunction("""COMPUTED_VALUE"""),79)</f>
        <v>79</v>
      </c>
    </row>
    <row r="93" customFormat="false" ht="17.9" hidden="false" customHeight="false" outlineLevel="0" collapsed="false">
      <c r="A93" s="85" t="n">
        <v>92</v>
      </c>
      <c r="B93" s="85" t="n">
        <v>465870</v>
      </c>
      <c r="C93" s="86" t="s">
        <v>192</v>
      </c>
      <c r="D93" s="87" t="s">
        <v>91</v>
      </c>
      <c r="E93" s="88" t="str">
        <f aca="false">D93</f>
        <v>P3111</v>
      </c>
      <c r="F93" s="88" t="str">
        <f aca="false">REPLACE(E93, 1, 3, "")</f>
        <v>11</v>
      </c>
      <c r="G93" s="89" t="str">
        <f aca="true">IFERROR(VLOOKUP(B93,INDIRECT("'"&amp;$F93&amp;"'!D3:D"),1,FALSE()), "Not found")</f>
        <v>Not found</v>
      </c>
      <c r="H93" s="89" t="n">
        <f aca="true">INDIRECT("'"&amp;$F93&amp;"'!D1")</f>
        <v>0</v>
      </c>
      <c r="I93" s="89" t="str">
        <f aca="false">IFERROR(__xludf.dummyfunction("REGEXEXTRACT(ADDRESS(ROW(), 19+$H93), ""[A-Z]+"")"),"S")</f>
        <v>S</v>
      </c>
      <c r="J93" s="89" t="str">
        <f aca="false">IFERROR(__xludf.dummyfunction("REGEXEXTRACT(ADDRESS(ROW(), 25+$H93), ""[A-Z]+"")"),"Y")</f>
        <v>Y</v>
      </c>
      <c r="K93" s="89" t="str">
        <f aca="false">IFERROR(__xludf.dummyfunction("REGEXEXTRACT(ADDRESS(ROW(), 27+$H93), ""[A-Z]+"")"),"AA")</f>
        <v>AA</v>
      </c>
      <c r="L93" s="89" t="str">
        <f aca="false">IFERROR(__xludf.dummyfunction("REGEXEXTRACT(ADDRESS(ROW(), 28+$H93), ""[A-Z]+"")"),"AB")</f>
        <v>AB</v>
      </c>
      <c r="M93" s="89" t="str">
        <f aca="false">IFERROR(__xludf.dummyfunction("REGEXEXTRACT(ADDRESS(ROW(), 34+$H93), ""[A-Z]+"")"),"AH")</f>
        <v>AH</v>
      </c>
      <c r="N93" s="89" t="str">
        <f aca="false">IFERROR(__xludf.dummyfunction("REGEXEXTRACT(ADDRESS(ROW(), 37+$H93), ""[A-Z]+"")"),"AK")</f>
        <v>AK</v>
      </c>
      <c r="O93" s="89" t="str">
        <f aca="false">IFERROR(__xludf.dummyfunction("REGEXEXTRACT(ADDRESS(ROW(), 38+$H93), ""[A-Z]+"")"),"AL")</f>
        <v>AL</v>
      </c>
      <c r="P93" s="89" t="str">
        <f aca="false">IFERROR(__xludf.dummyfunction("REGEXEXTRACT(ADDRESS(ROW(), 39+$H93), ""[A-Z]+"")"),"AM")</f>
        <v>AM</v>
      </c>
      <c r="Q93" s="89" t="str">
        <f aca="false">IFERROR(__xludf.dummyfunction("REGEXEXTRACT(ADDRESS(ROW(), 40+$H93), ""[A-Z]+"")"),"AN")</f>
        <v>AN</v>
      </c>
      <c r="R93" s="89" t="n">
        <f aca="false">IFERROR(__xludf.dummyfunction("IFERROR(QUERY(INDIRECT(""'""&amp;$F93&amp;""'!C3:""&amp;Q93&amp;""""), ""SELECT ""&amp;I93&amp;"", ""&amp;J93&amp;"", ""&amp;K93&amp;"", ""&amp;L93&amp;"", ""&amp;M93&amp;"", ""&amp;N93&amp;"", ""&amp;O93&amp;"", ""&amp;P93&amp;"" WHERE '""&amp;B93&amp;""' CONTAINS D"", 0), """")"),20)</f>
        <v>20</v>
      </c>
      <c r="S93" s="89" t="n">
        <f aca="false">IFERROR(__xludf.dummyfunction("""COMPUTED_VALUE"""),20)</f>
        <v>20</v>
      </c>
      <c r="T93" s="89"/>
      <c r="U93" s="89"/>
      <c r="V93" s="89" t="n">
        <f aca="false">IFERROR(__xludf.dummyfunction("""COMPUTED_VALUE"""),9)</f>
        <v>9</v>
      </c>
      <c r="W93" s="89"/>
      <c r="X93" s="89" t="n">
        <f aca="false">IFERROR(__xludf.dummyfunction("""COMPUTED_VALUE"""),40)</f>
        <v>40</v>
      </c>
      <c r="Y93" s="89" t="n">
        <f aca="false">IFERROR(__xludf.dummyfunction("""COMPUTED_VALUE"""),89)</f>
        <v>89</v>
      </c>
    </row>
    <row r="94" customFormat="false" ht="17.9" hidden="false" customHeight="false" outlineLevel="0" collapsed="false">
      <c r="A94" s="85" t="n">
        <v>93</v>
      </c>
      <c r="B94" s="85" t="n">
        <v>465871</v>
      </c>
      <c r="C94" s="86" t="s">
        <v>193</v>
      </c>
      <c r="D94" s="87" t="s">
        <v>127</v>
      </c>
      <c r="E94" s="88" t="str">
        <f aca="false">D94</f>
        <v>P3131</v>
      </c>
      <c r="F94" s="88" t="str">
        <f aca="false">REPLACE(E94, 1, 3, "")</f>
        <v>31</v>
      </c>
      <c r="G94" s="89" t="str">
        <f aca="true">IFERROR(VLOOKUP(B94,INDIRECT("'"&amp;$F94&amp;"'!D3:D"),1,FALSE()), "Not found")</f>
        <v>Not found</v>
      </c>
      <c r="H94" s="89" t="n">
        <f aca="true">INDIRECT("'"&amp;$F94&amp;"'!D1")</f>
        <v>0</v>
      </c>
      <c r="I94" s="89" t="str">
        <f aca="false">IFERROR(__xludf.dummyfunction("REGEXEXTRACT(ADDRESS(ROW(), 19+$H94), ""[A-Z]+"")"),"S")</f>
        <v>S</v>
      </c>
      <c r="J94" s="89" t="str">
        <f aca="false">IFERROR(__xludf.dummyfunction("REGEXEXTRACT(ADDRESS(ROW(), 25+$H94), ""[A-Z]+"")"),"Y")</f>
        <v>Y</v>
      </c>
      <c r="K94" s="89" t="str">
        <f aca="false">IFERROR(__xludf.dummyfunction("REGEXEXTRACT(ADDRESS(ROW(), 27+$H94), ""[A-Z]+"")"),"AA")</f>
        <v>AA</v>
      </c>
      <c r="L94" s="89" t="str">
        <f aca="false">IFERROR(__xludf.dummyfunction("REGEXEXTRACT(ADDRESS(ROW(), 28+$H94), ""[A-Z]+"")"),"AB")</f>
        <v>AB</v>
      </c>
      <c r="M94" s="89" t="str">
        <f aca="false">IFERROR(__xludf.dummyfunction("REGEXEXTRACT(ADDRESS(ROW(), 34+$H94), ""[A-Z]+"")"),"AH")</f>
        <v>AH</v>
      </c>
      <c r="N94" s="89" t="str">
        <f aca="false">IFERROR(__xludf.dummyfunction("REGEXEXTRACT(ADDRESS(ROW(), 37+$H94), ""[A-Z]+"")"),"AK")</f>
        <v>AK</v>
      </c>
      <c r="O94" s="89" t="str">
        <f aca="false">IFERROR(__xludf.dummyfunction("REGEXEXTRACT(ADDRESS(ROW(), 38+$H94), ""[A-Z]+"")"),"AL")</f>
        <v>AL</v>
      </c>
      <c r="P94" s="89" t="str">
        <f aca="false">IFERROR(__xludf.dummyfunction("REGEXEXTRACT(ADDRESS(ROW(), 39+$H94), ""[A-Z]+"")"),"AM")</f>
        <v>AM</v>
      </c>
      <c r="Q94" s="89" t="str">
        <f aca="false">IFERROR(__xludf.dummyfunction("REGEXEXTRACT(ADDRESS(ROW(), 40+$H94), ""[A-Z]+"")"),"AN")</f>
        <v>AN</v>
      </c>
      <c r="R94" s="89" t="n">
        <f aca="false">IFERROR(__xludf.dummyfunction("IFERROR(QUERY(INDIRECT(""'""&amp;$F94&amp;""'!C3:""&amp;Q94&amp;""""), ""SELECT ""&amp;I94&amp;"", ""&amp;J94&amp;"", ""&amp;K94&amp;"", ""&amp;L94&amp;"", ""&amp;M94&amp;"", ""&amp;N94&amp;"", ""&amp;O94&amp;"", ""&amp;P94&amp;"" WHERE '""&amp;B94&amp;""' CONTAINS D"", 0), """")"),14)</f>
        <v>14</v>
      </c>
      <c r="S94" s="89" t="n">
        <f aca="false">IFERROR(__xludf.dummyfunction("""COMPUTED_VALUE"""),14)</f>
        <v>14</v>
      </c>
      <c r="T94" s="89"/>
      <c r="U94" s="89"/>
      <c r="V94" s="89" t="n">
        <f aca="false">IFERROR(__xludf.dummyfunction("""COMPUTED_VALUE"""),10)</f>
        <v>10</v>
      </c>
      <c r="W94" s="89"/>
      <c r="X94" s="89" t="n">
        <f aca="false">IFERROR(__xludf.dummyfunction("""COMPUTED_VALUE"""),40)</f>
        <v>40</v>
      </c>
      <c r="Y94" s="89" t="n">
        <f aca="false">IFERROR(__xludf.dummyfunction("""COMPUTED_VALUE"""),78)</f>
        <v>78</v>
      </c>
    </row>
    <row r="95" customFormat="false" ht="17.9" hidden="false" customHeight="false" outlineLevel="0" collapsed="false">
      <c r="A95" s="85" t="n">
        <v>94</v>
      </c>
      <c r="B95" s="85" t="n">
        <v>465879</v>
      </c>
      <c r="C95" s="86" t="s">
        <v>194</v>
      </c>
      <c r="D95" s="87" t="s">
        <v>87</v>
      </c>
      <c r="E95" s="88" t="str">
        <f aca="false">D95</f>
        <v>P3130</v>
      </c>
      <c r="F95" s="88" t="str">
        <f aca="false">REPLACE(E95, 1, 3, "")</f>
        <v>30</v>
      </c>
      <c r="G95" s="89" t="str">
        <f aca="true">IFERROR(VLOOKUP(B95,INDIRECT("'"&amp;$F95&amp;"'!D3:D"),1,FALSE()), "Not found")</f>
        <v>Not found</v>
      </c>
      <c r="H95" s="89" t="n">
        <f aca="true">INDIRECT("'"&amp;$F95&amp;"'!D1")</f>
        <v>0</v>
      </c>
      <c r="I95" s="89" t="str">
        <f aca="false">IFERROR(__xludf.dummyfunction("REGEXEXTRACT(ADDRESS(ROW(), 19+$H95), ""[A-Z]+"")"),"S")</f>
        <v>S</v>
      </c>
      <c r="J95" s="89" t="str">
        <f aca="false">IFERROR(__xludf.dummyfunction("REGEXEXTRACT(ADDRESS(ROW(), 25+$H95), ""[A-Z]+"")"),"Y")</f>
        <v>Y</v>
      </c>
      <c r="K95" s="89" t="str">
        <f aca="false">IFERROR(__xludf.dummyfunction("REGEXEXTRACT(ADDRESS(ROW(), 27+$H95), ""[A-Z]+"")"),"AA")</f>
        <v>AA</v>
      </c>
      <c r="L95" s="89" t="str">
        <f aca="false">IFERROR(__xludf.dummyfunction("REGEXEXTRACT(ADDRESS(ROW(), 28+$H95), ""[A-Z]+"")"),"AB")</f>
        <v>AB</v>
      </c>
      <c r="M95" s="89" t="str">
        <f aca="false">IFERROR(__xludf.dummyfunction("REGEXEXTRACT(ADDRESS(ROW(), 34+$H95), ""[A-Z]+"")"),"AH")</f>
        <v>AH</v>
      </c>
      <c r="N95" s="89" t="str">
        <f aca="false">IFERROR(__xludf.dummyfunction("REGEXEXTRACT(ADDRESS(ROW(), 37+$H95), ""[A-Z]+"")"),"AK")</f>
        <v>AK</v>
      </c>
      <c r="O95" s="89" t="str">
        <f aca="false">IFERROR(__xludf.dummyfunction("REGEXEXTRACT(ADDRESS(ROW(), 38+$H95), ""[A-Z]+"")"),"AL")</f>
        <v>AL</v>
      </c>
      <c r="P95" s="89" t="str">
        <f aca="false">IFERROR(__xludf.dummyfunction("REGEXEXTRACT(ADDRESS(ROW(), 39+$H95), ""[A-Z]+"")"),"AM")</f>
        <v>AM</v>
      </c>
      <c r="Q95" s="89" t="str">
        <f aca="false">IFERROR(__xludf.dummyfunction("REGEXEXTRACT(ADDRESS(ROW(), 40+$H95), ""[A-Z]+"")"),"AN")</f>
        <v>AN</v>
      </c>
      <c r="R95" s="89" t="n">
        <f aca="false">IFERROR(__xludf.dummyfunction("IFERROR(QUERY(INDIRECT(""'""&amp;$F95&amp;""'!C3:""&amp;Q95&amp;""""), ""SELECT ""&amp;I95&amp;"", ""&amp;J95&amp;"", ""&amp;K95&amp;"", ""&amp;L95&amp;"", ""&amp;M95&amp;"", ""&amp;N95&amp;"", ""&amp;O95&amp;"", ""&amp;P95&amp;"" WHERE '""&amp;B95&amp;""' CONTAINS D"", 0), """")"),16)</f>
        <v>16</v>
      </c>
      <c r="S95" s="89" t="n">
        <f aca="false">IFERROR(__xludf.dummyfunction("""COMPUTED_VALUE"""),12)</f>
        <v>12</v>
      </c>
      <c r="T95" s="89"/>
      <c r="U95" s="89"/>
      <c r="V95" s="89" t="n">
        <f aca="false">IFERROR(__xludf.dummyfunction("""COMPUTED_VALUE"""),0.02)</f>
        <v>0.02</v>
      </c>
      <c r="W95" s="89"/>
      <c r="X95" s="89" t="n">
        <f aca="false">IFERROR(__xludf.dummyfunction("""COMPUTED_VALUE"""),0)</f>
        <v>0</v>
      </c>
      <c r="Y95" s="89" t="n">
        <f aca="false">IFERROR(__xludf.dummyfunction("""COMPUTED_VALUE"""),28.02)</f>
        <v>28.02</v>
      </c>
    </row>
    <row r="96" customFormat="false" ht="17.9" hidden="false" customHeight="false" outlineLevel="0" collapsed="false">
      <c r="A96" s="85" t="n">
        <v>95</v>
      </c>
      <c r="B96" s="85" t="n">
        <v>465883</v>
      </c>
      <c r="C96" s="86" t="s">
        <v>195</v>
      </c>
      <c r="D96" s="87" t="s">
        <v>87</v>
      </c>
      <c r="E96" s="88" t="str">
        <f aca="false">D96</f>
        <v>P3130</v>
      </c>
      <c r="F96" s="88" t="str">
        <f aca="false">REPLACE(E96, 1, 3, "")</f>
        <v>30</v>
      </c>
      <c r="G96" s="89" t="str">
        <f aca="true">IFERROR(VLOOKUP(B96,INDIRECT("'"&amp;$F96&amp;"'!D3:D"),1,FALSE()), "Not found")</f>
        <v>Not found</v>
      </c>
      <c r="H96" s="89" t="n">
        <f aca="true">INDIRECT("'"&amp;$F96&amp;"'!D1")</f>
        <v>0</v>
      </c>
      <c r="I96" s="89" t="str">
        <f aca="false">IFERROR(__xludf.dummyfunction("REGEXEXTRACT(ADDRESS(ROW(), 19+$H96), ""[A-Z]+"")"),"S")</f>
        <v>S</v>
      </c>
      <c r="J96" s="89" t="str">
        <f aca="false">IFERROR(__xludf.dummyfunction("REGEXEXTRACT(ADDRESS(ROW(), 25+$H96), ""[A-Z]+"")"),"Y")</f>
        <v>Y</v>
      </c>
      <c r="K96" s="89" t="str">
        <f aca="false">IFERROR(__xludf.dummyfunction("REGEXEXTRACT(ADDRESS(ROW(), 27+$H96), ""[A-Z]+"")"),"AA")</f>
        <v>AA</v>
      </c>
      <c r="L96" s="89" t="str">
        <f aca="false">IFERROR(__xludf.dummyfunction("REGEXEXTRACT(ADDRESS(ROW(), 28+$H96), ""[A-Z]+"")"),"AB")</f>
        <v>AB</v>
      </c>
      <c r="M96" s="89" t="str">
        <f aca="false">IFERROR(__xludf.dummyfunction("REGEXEXTRACT(ADDRESS(ROW(), 34+$H96), ""[A-Z]+"")"),"AH")</f>
        <v>AH</v>
      </c>
      <c r="N96" s="89" t="str">
        <f aca="false">IFERROR(__xludf.dummyfunction("REGEXEXTRACT(ADDRESS(ROW(), 37+$H96), ""[A-Z]+"")"),"AK")</f>
        <v>AK</v>
      </c>
      <c r="O96" s="89" t="str">
        <f aca="false">IFERROR(__xludf.dummyfunction("REGEXEXTRACT(ADDRESS(ROW(), 38+$H96), ""[A-Z]+"")"),"AL")</f>
        <v>AL</v>
      </c>
      <c r="P96" s="89" t="str">
        <f aca="false">IFERROR(__xludf.dummyfunction("REGEXEXTRACT(ADDRESS(ROW(), 39+$H96), ""[A-Z]+"")"),"AM")</f>
        <v>AM</v>
      </c>
      <c r="Q96" s="89" t="str">
        <f aca="false">IFERROR(__xludf.dummyfunction("REGEXEXTRACT(ADDRESS(ROW(), 40+$H96), ""[A-Z]+"")"),"AN")</f>
        <v>AN</v>
      </c>
      <c r="R96" s="89" t="n">
        <f aca="false">IFERROR(__xludf.dummyfunction("IFERROR(QUERY(INDIRECT(""'""&amp;$F96&amp;""'!C3:""&amp;Q96&amp;""""), ""SELECT ""&amp;I96&amp;"", ""&amp;J96&amp;"", ""&amp;K96&amp;"", ""&amp;L96&amp;"", ""&amp;M96&amp;"", ""&amp;N96&amp;"", ""&amp;O96&amp;"", ""&amp;P96&amp;"" WHERE '""&amp;B96&amp;""' CONTAINS D"", 0), """")"),17)</f>
        <v>17</v>
      </c>
      <c r="S96" s="89" t="n">
        <f aca="false">IFERROR(__xludf.dummyfunction("""COMPUTED_VALUE"""),14)</f>
        <v>14</v>
      </c>
      <c r="T96" s="89"/>
      <c r="U96" s="89"/>
      <c r="V96" s="89" t="n">
        <f aca="false">IFERROR(__xludf.dummyfunction("""COMPUTED_VALUE"""),6)</f>
        <v>6</v>
      </c>
      <c r="W96" s="89"/>
      <c r="X96" s="89" t="n">
        <f aca="false">IFERROR(__xludf.dummyfunction("""COMPUTED_VALUE"""),35)</f>
        <v>35</v>
      </c>
      <c r="Y96" s="89" t="n">
        <f aca="false">IFERROR(__xludf.dummyfunction("""COMPUTED_VALUE"""),72)</f>
        <v>72</v>
      </c>
    </row>
    <row r="97" customFormat="false" ht="17.9" hidden="false" customHeight="false" outlineLevel="0" collapsed="false">
      <c r="A97" s="85" t="n">
        <v>96</v>
      </c>
      <c r="B97" s="85" t="n">
        <v>465887</v>
      </c>
      <c r="C97" s="86" t="s">
        <v>196</v>
      </c>
      <c r="D97" s="87" t="s">
        <v>130</v>
      </c>
      <c r="E97" s="88" t="str">
        <f aca="false">D97</f>
        <v>P3117</v>
      </c>
      <c r="F97" s="88" t="str">
        <f aca="false">REPLACE(E97, 1, 3, "")</f>
        <v>17</v>
      </c>
      <c r="G97" s="89" t="str">
        <f aca="true">IFERROR(VLOOKUP(B97,INDIRECT("'"&amp;$F97&amp;"'!D3:D"),1,FALSE()), "Not found")</f>
        <v>Not found</v>
      </c>
      <c r="H97" s="89" t="n">
        <f aca="true">INDIRECT("'"&amp;$F97&amp;"'!D1")</f>
        <v>1</v>
      </c>
      <c r="I97" s="89" t="str">
        <f aca="false">IFERROR(__xludf.dummyfunction("REGEXEXTRACT(ADDRESS(ROW(), 19+$H97), ""[A-Z]+"")"),"T")</f>
        <v>T</v>
      </c>
      <c r="J97" s="89" t="str">
        <f aca="false">IFERROR(__xludf.dummyfunction("REGEXEXTRACT(ADDRESS(ROW(), 25+$H97), ""[A-Z]+"")"),"Z")</f>
        <v>Z</v>
      </c>
      <c r="K97" s="89" t="str">
        <f aca="false">IFERROR(__xludf.dummyfunction("REGEXEXTRACT(ADDRESS(ROW(), 27+$H97), ""[A-Z]+"")"),"AB")</f>
        <v>AB</v>
      </c>
      <c r="L97" s="89" t="str">
        <f aca="false">IFERROR(__xludf.dummyfunction("REGEXEXTRACT(ADDRESS(ROW(), 28+$H97), ""[A-Z]+"")"),"AC")</f>
        <v>AC</v>
      </c>
      <c r="M97" s="89" t="str">
        <f aca="false">IFERROR(__xludf.dummyfunction("REGEXEXTRACT(ADDRESS(ROW(), 34+$H97), ""[A-Z]+"")"),"AI")</f>
        <v>AI</v>
      </c>
      <c r="N97" s="89" t="str">
        <f aca="false">IFERROR(__xludf.dummyfunction("REGEXEXTRACT(ADDRESS(ROW(), 37+$H97), ""[A-Z]+"")"),"AL")</f>
        <v>AL</v>
      </c>
      <c r="O97" s="89" t="str">
        <f aca="false">IFERROR(__xludf.dummyfunction("REGEXEXTRACT(ADDRESS(ROW(), 38+$H97), ""[A-Z]+"")"),"AM")</f>
        <v>AM</v>
      </c>
      <c r="P97" s="89" t="str">
        <f aca="false">IFERROR(__xludf.dummyfunction("REGEXEXTRACT(ADDRESS(ROW(), 39+$H97), ""[A-Z]+"")"),"AN")</f>
        <v>AN</v>
      </c>
      <c r="Q97" s="89" t="str">
        <f aca="false">IFERROR(__xludf.dummyfunction("REGEXEXTRACT(ADDRESS(ROW(), 40+$H97), ""[A-Z]+"")"),"AO")</f>
        <v>AO</v>
      </c>
      <c r="R97" s="89" t="n">
        <f aca="false">IFERROR(__xludf.dummyfunction("IFERROR(QUERY(INDIRECT(""'""&amp;$F97&amp;""'!C3:""&amp;Q97&amp;""""), ""SELECT ""&amp;I97&amp;"", ""&amp;J97&amp;"", ""&amp;K97&amp;"", ""&amp;L97&amp;"", ""&amp;M97&amp;"", ""&amp;N97&amp;"", ""&amp;O97&amp;"", ""&amp;P97&amp;"" WHERE '""&amp;B97&amp;""' CONTAINS D"", 0), """")"),19)</f>
        <v>19</v>
      </c>
      <c r="S97" s="89" t="n">
        <f aca="false">IFERROR(__xludf.dummyfunction("""COMPUTED_VALUE"""),18.5)</f>
        <v>18.5</v>
      </c>
      <c r="T97" s="89"/>
      <c r="U97" s="89"/>
      <c r="V97" s="89" t="n">
        <f aca="false">IFERROR(__xludf.dummyfunction("""COMPUTED_VALUE"""),10)</f>
        <v>10</v>
      </c>
      <c r="W97" s="89"/>
      <c r="X97" s="89" t="n">
        <f aca="false">IFERROR(__xludf.dummyfunction("""COMPUTED_VALUE"""),40)</f>
        <v>40</v>
      </c>
      <c r="Y97" s="89" t="n">
        <f aca="false">IFERROR(__xludf.dummyfunction("""COMPUTED_VALUE"""),87.5)</f>
        <v>87.5</v>
      </c>
    </row>
    <row r="98" customFormat="false" ht="17.9" hidden="false" customHeight="false" outlineLevel="0" collapsed="false">
      <c r="A98" s="85" t="n">
        <v>97</v>
      </c>
      <c r="B98" s="85" t="n">
        <v>381731</v>
      </c>
      <c r="C98" s="86" t="s">
        <v>197</v>
      </c>
      <c r="D98" s="87" t="s">
        <v>85</v>
      </c>
      <c r="E98" s="88" t="str">
        <f aca="false">D98</f>
        <v>P3132</v>
      </c>
      <c r="F98" s="88" t="str">
        <f aca="false">REPLACE(E98, 1, 3, "")</f>
        <v>32</v>
      </c>
      <c r="G98" s="89" t="str">
        <f aca="true">IFERROR(VLOOKUP(B98,INDIRECT("'"&amp;$F98&amp;"'!D3:D"),1,FALSE()), "Not found")</f>
        <v>Not found</v>
      </c>
      <c r="H98" s="89" t="n">
        <f aca="true">INDIRECT("'"&amp;$F98&amp;"'!D1")</f>
        <v>0</v>
      </c>
      <c r="I98" s="89" t="str">
        <f aca="false">IFERROR(__xludf.dummyfunction("REGEXEXTRACT(ADDRESS(ROW(), 19+$H98), ""[A-Z]+"")"),"S")</f>
        <v>S</v>
      </c>
      <c r="J98" s="89" t="str">
        <f aca="false">IFERROR(__xludf.dummyfunction("REGEXEXTRACT(ADDRESS(ROW(), 25+$H98), ""[A-Z]+"")"),"Y")</f>
        <v>Y</v>
      </c>
      <c r="K98" s="89" t="str">
        <f aca="false">IFERROR(__xludf.dummyfunction("REGEXEXTRACT(ADDRESS(ROW(), 27+$H98), ""[A-Z]+"")"),"AA")</f>
        <v>AA</v>
      </c>
      <c r="L98" s="89" t="str">
        <f aca="false">IFERROR(__xludf.dummyfunction("REGEXEXTRACT(ADDRESS(ROW(), 28+$H98), ""[A-Z]+"")"),"AB")</f>
        <v>AB</v>
      </c>
      <c r="M98" s="89" t="str">
        <f aca="false">IFERROR(__xludf.dummyfunction("REGEXEXTRACT(ADDRESS(ROW(), 34+$H98), ""[A-Z]+"")"),"AH")</f>
        <v>AH</v>
      </c>
      <c r="N98" s="89" t="str">
        <f aca="false">IFERROR(__xludf.dummyfunction("REGEXEXTRACT(ADDRESS(ROW(), 37+$H98), ""[A-Z]+"")"),"AK")</f>
        <v>AK</v>
      </c>
      <c r="O98" s="89" t="str">
        <f aca="false">IFERROR(__xludf.dummyfunction("REGEXEXTRACT(ADDRESS(ROW(), 38+$H98), ""[A-Z]+"")"),"AL")</f>
        <v>AL</v>
      </c>
      <c r="P98" s="89" t="str">
        <f aca="false">IFERROR(__xludf.dummyfunction("REGEXEXTRACT(ADDRESS(ROW(), 39+$H98), ""[A-Z]+"")"),"AM")</f>
        <v>AM</v>
      </c>
      <c r="Q98" s="89" t="str">
        <f aca="false">IFERROR(__xludf.dummyfunction("REGEXEXTRACT(ADDRESS(ROW(), 40+$H98), ""[A-Z]+"")"),"AN")</f>
        <v>AN</v>
      </c>
      <c r="R98" s="89" t="n">
        <f aca="false">IFERROR(__xludf.dummyfunction("IFERROR(QUERY(INDIRECT(""'""&amp;$F98&amp;""'!C3:""&amp;Q98&amp;""""), ""SELECT ""&amp;I98&amp;"", ""&amp;J98&amp;"", ""&amp;K98&amp;"", ""&amp;L98&amp;"", ""&amp;M98&amp;"", ""&amp;N98&amp;"", ""&amp;O98&amp;"", ""&amp;P98&amp;"" WHERE '""&amp;B98&amp;""' CONTAINS D"", 0), """")"),18)</f>
        <v>18</v>
      </c>
      <c r="S98" s="89" t="n">
        <f aca="false">IFERROR(__xludf.dummyfunction("""COMPUTED_VALUE"""),18)</f>
        <v>18</v>
      </c>
      <c r="T98" s="89"/>
      <c r="U98" s="89"/>
      <c r="V98" s="89" t="n">
        <f aca="false">IFERROR(__xludf.dummyfunction("""COMPUTED_VALUE"""),6)</f>
        <v>6</v>
      </c>
      <c r="W98" s="89"/>
      <c r="X98" s="89" t="n">
        <f aca="false">IFERROR(__xludf.dummyfunction("""COMPUTED_VALUE"""),28)</f>
        <v>28</v>
      </c>
      <c r="Y98" s="89" t="n">
        <f aca="false">IFERROR(__xludf.dummyfunction("""COMPUTED_VALUE"""),70)</f>
        <v>70</v>
      </c>
    </row>
    <row r="99" customFormat="false" ht="17.9" hidden="false" customHeight="false" outlineLevel="0" collapsed="false">
      <c r="A99" s="85" t="n">
        <v>98</v>
      </c>
      <c r="B99" s="85" t="n">
        <v>465903</v>
      </c>
      <c r="C99" s="86" t="s">
        <v>198</v>
      </c>
      <c r="D99" s="87" t="s">
        <v>87</v>
      </c>
      <c r="E99" s="88" t="str">
        <f aca="false">D99</f>
        <v>P3130</v>
      </c>
      <c r="F99" s="88" t="str">
        <f aca="false">REPLACE(E99, 1, 3, "")</f>
        <v>30</v>
      </c>
      <c r="G99" s="89" t="str">
        <f aca="true">IFERROR(VLOOKUP(B99,INDIRECT("'"&amp;$F99&amp;"'!D3:D"),1,FALSE()), "Not found")</f>
        <v>Not found</v>
      </c>
      <c r="H99" s="89" t="n">
        <f aca="true">INDIRECT("'"&amp;$F99&amp;"'!D1")</f>
        <v>0</v>
      </c>
      <c r="I99" s="89" t="str">
        <f aca="false">IFERROR(__xludf.dummyfunction("REGEXEXTRACT(ADDRESS(ROW(), 19+$H99), ""[A-Z]+"")"),"S")</f>
        <v>S</v>
      </c>
      <c r="J99" s="89" t="str">
        <f aca="false">IFERROR(__xludf.dummyfunction("REGEXEXTRACT(ADDRESS(ROW(), 25+$H99), ""[A-Z]+"")"),"Y")</f>
        <v>Y</v>
      </c>
      <c r="K99" s="89" t="str">
        <f aca="false">IFERROR(__xludf.dummyfunction("REGEXEXTRACT(ADDRESS(ROW(), 27+$H99), ""[A-Z]+"")"),"AA")</f>
        <v>AA</v>
      </c>
      <c r="L99" s="89" t="str">
        <f aca="false">IFERROR(__xludf.dummyfunction("REGEXEXTRACT(ADDRESS(ROW(), 28+$H99), ""[A-Z]+"")"),"AB")</f>
        <v>AB</v>
      </c>
      <c r="M99" s="89" t="str">
        <f aca="false">IFERROR(__xludf.dummyfunction("REGEXEXTRACT(ADDRESS(ROW(), 34+$H99), ""[A-Z]+"")"),"AH")</f>
        <v>AH</v>
      </c>
      <c r="N99" s="89" t="str">
        <f aca="false">IFERROR(__xludf.dummyfunction("REGEXEXTRACT(ADDRESS(ROW(), 37+$H99), ""[A-Z]+"")"),"AK")</f>
        <v>AK</v>
      </c>
      <c r="O99" s="89" t="str">
        <f aca="false">IFERROR(__xludf.dummyfunction("REGEXEXTRACT(ADDRESS(ROW(), 38+$H99), ""[A-Z]+"")"),"AL")</f>
        <v>AL</v>
      </c>
      <c r="P99" s="89" t="str">
        <f aca="false">IFERROR(__xludf.dummyfunction("REGEXEXTRACT(ADDRESS(ROW(), 39+$H99), ""[A-Z]+"")"),"AM")</f>
        <v>AM</v>
      </c>
      <c r="Q99" s="89" t="str">
        <f aca="false">IFERROR(__xludf.dummyfunction("REGEXEXTRACT(ADDRESS(ROW(), 40+$H99), ""[A-Z]+"")"),"AN")</f>
        <v>AN</v>
      </c>
      <c r="R99" s="89" t="n">
        <f aca="false">IFERROR(__xludf.dummyfunction("IFERROR(QUERY(INDIRECT(""'""&amp;$F99&amp;""'!C3:""&amp;Q99&amp;""""), ""SELECT ""&amp;I99&amp;"", ""&amp;J99&amp;"", ""&amp;K99&amp;"", ""&amp;L99&amp;"", ""&amp;M99&amp;"", ""&amp;N99&amp;"", ""&amp;O99&amp;"", ""&amp;P99&amp;"" WHERE '""&amp;B99&amp;""' CONTAINS D"", 0), """")"),17)</f>
        <v>17</v>
      </c>
      <c r="S99" s="89" t="n">
        <f aca="false">IFERROR(__xludf.dummyfunction("""COMPUTED_VALUE"""),20)</f>
        <v>20</v>
      </c>
      <c r="T99" s="89"/>
      <c r="U99" s="89"/>
      <c r="V99" s="89" t="n">
        <f aca="false">IFERROR(__xludf.dummyfunction("""COMPUTED_VALUE"""),10)</f>
        <v>10</v>
      </c>
      <c r="W99" s="89"/>
      <c r="X99" s="89" t="n">
        <f aca="false">IFERROR(__xludf.dummyfunction("""COMPUTED_VALUE"""),40)</f>
        <v>40</v>
      </c>
      <c r="Y99" s="89" t="n">
        <f aca="false">IFERROR(__xludf.dummyfunction("""COMPUTED_VALUE"""),87)</f>
        <v>87</v>
      </c>
    </row>
    <row r="100" customFormat="false" ht="17.9" hidden="false" customHeight="false" outlineLevel="0" collapsed="false">
      <c r="A100" s="85" t="n">
        <v>99</v>
      </c>
      <c r="B100" s="85" t="n">
        <v>465917</v>
      </c>
      <c r="C100" s="86" t="s">
        <v>199</v>
      </c>
      <c r="D100" s="87" t="s">
        <v>100</v>
      </c>
      <c r="E100" s="88" t="str">
        <f aca="false">D100</f>
        <v>P3112</v>
      </c>
      <c r="F100" s="88" t="str">
        <f aca="false">REPLACE(E100, 1, 3, "")</f>
        <v>12</v>
      </c>
      <c r="G100" s="89" t="str">
        <f aca="true">IFERROR(VLOOKUP(B100,INDIRECT("'"&amp;$F100&amp;"'!D3:D"),1,FALSE()), "Not found")</f>
        <v>Not found</v>
      </c>
      <c r="H100" s="89" t="n">
        <f aca="true">INDIRECT("'"&amp;$F100&amp;"'!D1")</f>
        <v>0</v>
      </c>
      <c r="I100" s="89" t="str">
        <f aca="false">IFERROR(__xludf.dummyfunction("REGEXEXTRACT(ADDRESS(ROW(), 19+$H100), ""[A-Z]+"")"),"S")</f>
        <v>S</v>
      </c>
      <c r="J100" s="89" t="str">
        <f aca="false">IFERROR(__xludf.dummyfunction("REGEXEXTRACT(ADDRESS(ROW(), 25+$H100), ""[A-Z]+"")"),"Y")</f>
        <v>Y</v>
      </c>
      <c r="K100" s="89" t="str">
        <f aca="false">IFERROR(__xludf.dummyfunction("REGEXEXTRACT(ADDRESS(ROW(), 27+$H100), ""[A-Z]+"")"),"AA")</f>
        <v>AA</v>
      </c>
      <c r="L100" s="89" t="str">
        <f aca="false">IFERROR(__xludf.dummyfunction("REGEXEXTRACT(ADDRESS(ROW(), 28+$H100), ""[A-Z]+"")"),"AB")</f>
        <v>AB</v>
      </c>
      <c r="M100" s="89" t="str">
        <f aca="false">IFERROR(__xludf.dummyfunction("REGEXEXTRACT(ADDRESS(ROW(), 34+$H100), ""[A-Z]+"")"),"AH")</f>
        <v>AH</v>
      </c>
      <c r="N100" s="89" t="str">
        <f aca="false">IFERROR(__xludf.dummyfunction("REGEXEXTRACT(ADDRESS(ROW(), 37+$H100), ""[A-Z]+"")"),"AK")</f>
        <v>AK</v>
      </c>
      <c r="O100" s="89" t="str">
        <f aca="false">IFERROR(__xludf.dummyfunction("REGEXEXTRACT(ADDRESS(ROW(), 38+$H100), ""[A-Z]+"")"),"AL")</f>
        <v>AL</v>
      </c>
      <c r="P100" s="89" t="str">
        <f aca="false">IFERROR(__xludf.dummyfunction("REGEXEXTRACT(ADDRESS(ROW(), 39+$H100), ""[A-Z]+"")"),"AM")</f>
        <v>AM</v>
      </c>
      <c r="Q100" s="89" t="str">
        <f aca="false">IFERROR(__xludf.dummyfunction("REGEXEXTRACT(ADDRESS(ROW(), 40+$H100), ""[A-Z]+"")"),"AN")</f>
        <v>AN</v>
      </c>
      <c r="R100" s="89" t="n">
        <f aca="false">IFERROR(__xludf.dummyfunction("IFERROR(QUERY(INDIRECT(""'""&amp;$F100&amp;""'!C3:""&amp;Q100&amp;""""), ""SELECT ""&amp;I100&amp;"", ""&amp;J100&amp;"", ""&amp;K100&amp;"", ""&amp;L100&amp;"", ""&amp;M100&amp;"", ""&amp;N100&amp;"", ""&amp;O100&amp;"", ""&amp;P100&amp;"" WHERE '""&amp;B100&amp;""' CONTAINS D"", 0), """")"),19)</f>
        <v>19</v>
      </c>
      <c r="S100" s="89" t="n">
        <f aca="false">IFERROR(__xludf.dummyfunction("""COMPUTED_VALUE"""),19)</f>
        <v>19</v>
      </c>
      <c r="T100" s="89"/>
      <c r="U100" s="89"/>
      <c r="V100" s="89" t="n">
        <f aca="false">IFERROR(__xludf.dummyfunction("""COMPUTED_VALUE"""),9)</f>
        <v>9</v>
      </c>
      <c r="W100" s="89"/>
      <c r="X100" s="89" t="n">
        <f aca="false">IFERROR(__xludf.dummyfunction("""COMPUTED_VALUE"""),40)</f>
        <v>40</v>
      </c>
      <c r="Y100" s="89" t="n">
        <f aca="false">IFERROR(__xludf.dummyfunction("""COMPUTED_VALUE"""),87)</f>
        <v>87</v>
      </c>
    </row>
    <row r="101" customFormat="false" ht="17.9" hidden="false" customHeight="false" outlineLevel="0" collapsed="false">
      <c r="A101" s="85" t="n">
        <v>100</v>
      </c>
      <c r="B101" s="85" t="n">
        <v>465929</v>
      </c>
      <c r="C101" s="86" t="s">
        <v>200</v>
      </c>
      <c r="D101" s="87" t="s">
        <v>121</v>
      </c>
      <c r="E101" s="88" t="str">
        <f aca="false">D101</f>
        <v>P3120</v>
      </c>
      <c r="F101" s="88" t="str">
        <f aca="false">REPLACE(E101, 1, 3, "")</f>
        <v>20</v>
      </c>
      <c r="G101" s="89" t="str">
        <f aca="true">IFERROR(VLOOKUP(B101,INDIRECT("'"&amp;$F101&amp;"'!D3:D"),1,FALSE()), "Not found")</f>
        <v>Not found</v>
      </c>
      <c r="H101" s="89" t="n">
        <f aca="true">INDIRECT("'"&amp;$F101&amp;"'!D1")</f>
        <v>5</v>
      </c>
      <c r="I101" s="89" t="str">
        <f aca="false">IFERROR(__xludf.dummyfunction("REGEXEXTRACT(ADDRESS(ROW(), 19+$H101), ""[A-Z]+"")"),"X")</f>
        <v>X</v>
      </c>
      <c r="J101" s="89" t="str">
        <f aca="false">IFERROR(__xludf.dummyfunction("REGEXEXTRACT(ADDRESS(ROW(), 25+$H101), ""[A-Z]+"")"),"AD")</f>
        <v>AD</v>
      </c>
      <c r="K101" s="89" t="str">
        <f aca="false">IFERROR(__xludf.dummyfunction("REGEXEXTRACT(ADDRESS(ROW(), 27+$H101), ""[A-Z]+"")"),"AF")</f>
        <v>AF</v>
      </c>
      <c r="L101" s="89" t="str">
        <f aca="false">IFERROR(__xludf.dummyfunction("REGEXEXTRACT(ADDRESS(ROW(), 28+$H101), ""[A-Z]+"")"),"AG")</f>
        <v>AG</v>
      </c>
      <c r="M101" s="89" t="str">
        <f aca="false">IFERROR(__xludf.dummyfunction("REGEXEXTRACT(ADDRESS(ROW(), 34+$H101), ""[A-Z]+"")"),"AM")</f>
        <v>AM</v>
      </c>
      <c r="N101" s="89" t="str">
        <f aca="false">IFERROR(__xludf.dummyfunction("REGEXEXTRACT(ADDRESS(ROW(), 37+$H101), ""[A-Z]+"")"),"AP")</f>
        <v>AP</v>
      </c>
      <c r="O101" s="89" t="str">
        <f aca="false">IFERROR(__xludf.dummyfunction("REGEXEXTRACT(ADDRESS(ROW(), 38+$H101), ""[A-Z]+"")"),"AQ")</f>
        <v>AQ</v>
      </c>
      <c r="P101" s="89" t="str">
        <f aca="false">IFERROR(__xludf.dummyfunction("REGEXEXTRACT(ADDRESS(ROW(), 39+$H101), ""[A-Z]+"")"),"AR")</f>
        <v>AR</v>
      </c>
      <c r="Q101" s="89" t="str">
        <f aca="false">IFERROR(__xludf.dummyfunction("REGEXEXTRACT(ADDRESS(ROW(), 40+$H101), ""[A-Z]+"")"),"AS")</f>
        <v>AS</v>
      </c>
      <c r="R101" s="89" t="n">
        <f aca="false">IFERROR(__xludf.dummyfunction("IFERROR(QUERY(INDIRECT(""'""&amp;$F101&amp;""'!C3:""&amp;Q101&amp;""""), ""SELECT ""&amp;I101&amp;"", ""&amp;J101&amp;"", ""&amp;K101&amp;"", ""&amp;L101&amp;"", ""&amp;M101&amp;"", ""&amp;N101&amp;"", ""&amp;O101&amp;"", ""&amp;P101&amp;"" WHERE '""&amp;B101&amp;""' CONTAINS D"", 0), """")"),15)</f>
        <v>15</v>
      </c>
      <c r="S101" s="89" t="n">
        <f aca="false">IFERROR(__xludf.dummyfunction("""COMPUTED_VALUE"""),12)</f>
        <v>12</v>
      </c>
      <c r="T101" s="89"/>
      <c r="U101" s="89"/>
      <c r="V101" s="89" t="n">
        <f aca="false">IFERROR(__xludf.dummyfunction("""COMPUTED_VALUE"""),6)</f>
        <v>6</v>
      </c>
      <c r="W101" s="89"/>
      <c r="X101" s="89" t="n">
        <f aca="false">IFERROR(__xludf.dummyfunction("""COMPUTED_VALUE"""),30)</f>
        <v>30</v>
      </c>
      <c r="Y101" s="89" t="n">
        <f aca="false">IFERROR(__xludf.dummyfunction("""COMPUTED_VALUE"""),63)</f>
        <v>63</v>
      </c>
    </row>
    <row r="102" customFormat="false" ht="17.9" hidden="false" customHeight="false" outlineLevel="0" collapsed="false">
      <c r="A102" s="85" t="n">
        <v>101</v>
      </c>
      <c r="B102" s="85" t="n">
        <v>465945</v>
      </c>
      <c r="C102" s="86" t="s">
        <v>201</v>
      </c>
      <c r="D102" s="87" t="s">
        <v>146</v>
      </c>
      <c r="E102" s="88" t="str">
        <f aca="false">D102</f>
        <v>P3113</v>
      </c>
      <c r="F102" s="88" t="str">
        <f aca="false">REPLACE(E102, 1, 3, "")</f>
        <v>13</v>
      </c>
      <c r="G102" s="89" t="str">
        <f aca="true">IFERROR(VLOOKUP(B102,INDIRECT("'"&amp;$F102&amp;"'!D3:D"),1,FALSE()), "Not found")</f>
        <v>Not found</v>
      </c>
      <c r="H102" s="89" t="n">
        <f aca="true">INDIRECT("'"&amp;$F102&amp;"'!D1")</f>
        <v>0</v>
      </c>
      <c r="I102" s="89" t="str">
        <f aca="false">IFERROR(__xludf.dummyfunction("REGEXEXTRACT(ADDRESS(ROW(), 19+$H102), ""[A-Z]+"")"),"S")</f>
        <v>S</v>
      </c>
      <c r="J102" s="89" t="str">
        <f aca="false">IFERROR(__xludf.dummyfunction("REGEXEXTRACT(ADDRESS(ROW(), 25+$H102), ""[A-Z]+"")"),"Y")</f>
        <v>Y</v>
      </c>
      <c r="K102" s="89" t="str">
        <f aca="false">IFERROR(__xludf.dummyfunction("REGEXEXTRACT(ADDRESS(ROW(), 27+$H102), ""[A-Z]+"")"),"AA")</f>
        <v>AA</v>
      </c>
      <c r="L102" s="89" t="str">
        <f aca="false">IFERROR(__xludf.dummyfunction("REGEXEXTRACT(ADDRESS(ROW(), 28+$H102), ""[A-Z]+"")"),"AB")</f>
        <v>AB</v>
      </c>
      <c r="M102" s="89" t="str">
        <f aca="false">IFERROR(__xludf.dummyfunction("REGEXEXTRACT(ADDRESS(ROW(), 34+$H102), ""[A-Z]+"")"),"AH")</f>
        <v>AH</v>
      </c>
      <c r="N102" s="89" t="str">
        <f aca="false">IFERROR(__xludf.dummyfunction("REGEXEXTRACT(ADDRESS(ROW(), 37+$H102), ""[A-Z]+"")"),"AK")</f>
        <v>AK</v>
      </c>
      <c r="O102" s="89" t="str">
        <f aca="false">IFERROR(__xludf.dummyfunction("REGEXEXTRACT(ADDRESS(ROW(), 38+$H102), ""[A-Z]+"")"),"AL")</f>
        <v>AL</v>
      </c>
      <c r="P102" s="89" t="str">
        <f aca="false">IFERROR(__xludf.dummyfunction("REGEXEXTRACT(ADDRESS(ROW(), 39+$H102), ""[A-Z]+"")"),"AM")</f>
        <v>AM</v>
      </c>
      <c r="Q102" s="89" t="str">
        <f aca="false">IFERROR(__xludf.dummyfunction("REGEXEXTRACT(ADDRESS(ROW(), 40+$H102), ""[A-Z]+"")"),"AN")</f>
        <v>AN</v>
      </c>
      <c r="R102" s="89" t="n">
        <f aca="false">IFERROR(__xludf.dummyfunction("IFERROR(QUERY(INDIRECT(""'""&amp;$F102&amp;""'!C3:""&amp;Q102&amp;""""), ""SELECT ""&amp;I102&amp;"", ""&amp;J102&amp;"", ""&amp;K102&amp;"", ""&amp;L102&amp;"", ""&amp;M102&amp;"", ""&amp;N102&amp;"", ""&amp;O102&amp;"", ""&amp;P102&amp;"" WHERE '""&amp;B102&amp;""' CONTAINS D"", 0), """")"),16)</f>
        <v>16</v>
      </c>
      <c r="S102" s="89" t="n">
        <f aca="false">IFERROR(__xludf.dummyfunction("""COMPUTED_VALUE"""),17)</f>
        <v>17</v>
      </c>
      <c r="T102" s="89"/>
      <c r="U102" s="89"/>
      <c r="V102" s="89" t="n">
        <f aca="false">IFERROR(__xludf.dummyfunction("""COMPUTED_VALUE"""),6)</f>
        <v>6</v>
      </c>
      <c r="W102" s="89" t="n">
        <f aca="false">IFERROR(__xludf.dummyfunction("""COMPUTED_VALUE"""),3)</f>
        <v>3</v>
      </c>
      <c r="X102" s="89" t="n">
        <f aca="false">IFERROR(__xludf.dummyfunction("""COMPUTED_VALUE"""),30)</f>
        <v>30</v>
      </c>
      <c r="Y102" s="89" t="n">
        <f aca="false">IFERROR(__xludf.dummyfunction("""COMPUTED_VALUE"""),72)</f>
        <v>72</v>
      </c>
    </row>
    <row r="103" customFormat="false" ht="17.9" hidden="false" customHeight="false" outlineLevel="0" collapsed="false">
      <c r="A103" s="85" t="n">
        <v>102</v>
      </c>
      <c r="B103" s="85" t="n">
        <v>465951</v>
      </c>
      <c r="C103" s="86" t="s">
        <v>202</v>
      </c>
      <c r="D103" s="87" t="s">
        <v>93</v>
      </c>
      <c r="E103" s="88" t="str">
        <f aca="false">D103</f>
        <v>P3114</v>
      </c>
      <c r="F103" s="88" t="str">
        <f aca="false">REPLACE(E103, 1, 3, "")</f>
        <v>14</v>
      </c>
      <c r="G103" s="89" t="str">
        <f aca="true">IFERROR(VLOOKUP(B103,INDIRECT("'"&amp;$F103&amp;"'!D3:D"),1,FALSE()), "Not found")</f>
        <v>Not found</v>
      </c>
      <c r="H103" s="89" t="n">
        <f aca="true">INDIRECT("'"&amp;$F103&amp;"'!D1")</f>
        <v>0</v>
      </c>
      <c r="I103" s="89" t="str">
        <f aca="false">IFERROR(__xludf.dummyfunction("REGEXEXTRACT(ADDRESS(ROW(), 19+$H103), ""[A-Z]+"")"),"S")</f>
        <v>S</v>
      </c>
      <c r="J103" s="89" t="str">
        <f aca="false">IFERROR(__xludf.dummyfunction("REGEXEXTRACT(ADDRESS(ROW(), 25+$H103), ""[A-Z]+"")"),"Y")</f>
        <v>Y</v>
      </c>
      <c r="K103" s="89" t="str">
        <f aca="false">IFERROR(__xludf.dummyfunction("REGEXEXTRACT(ADDRESS(ROW(), 27+$H103), ""[A-Z]+"")"),"AA")</f>
        <v>AA</v>
      </c>
      <c r="L103" s="89" t="str">
        <f aca="false">IFERROR(__xludf.dummyfunction("REGEXEXTRACT(ADDRESS(ROW(), 28+$H103), ""[A-Z]+"")"),"AB")</f>
        <v>AB</v>
      </c>
      <c r="M103" s="89" t="str">
        <f aca="false">IFERROR(__xludf.dummyfunction("REGEXEXTRACT(ADDRESS(ROW(), 34+$H103), ""[A-Z]+"")"),"AH")</f>
        <v>AH</v>
      </c>
      <c r="N103" s="89" t="str">
        <f aca="false">IFERROR(__xludf.dummyfunction("REGEXEXTRACT(ADDRESS(ROW(), 37+$H103), ""[A-Z]+"")"),"AK")</f>
        <v>AK</v>
      </c>
      <c r="O103" s="89" t="str">
        <f aca="false">IFERROR(__xludf.dummyfunction("REGEXEXTRACT(ADDRESS(ROW(), 38+$H103), ""[A-Z]+"")"),"AL")</f>
        <v>AL</v>
      </c>
      <c r="P103" s="89" t="str">
        <f aca="false">IFERROR(__xludf.dummyfunction("REGEXEXTRACT(ADDRESS(ROW(), 39+$H103), ""[A-Z]+"")"),"AM")</f>
        <v>AM</v>
      </c>
      <c r="Q103" s="89" t="str">
        <f aca="false">IFERROR(__xludf.dummyfunction("REGEXEXTRACT(ADDRESS(ROW(), 40+$H103), ""[A-Z]+"")"),"AN")</f>
        <v>AN</v>
      </c>
      <c r="R103" s="89" t="n">
        <f aca="false">IFERROR(__xludf.dummyfunction("IFERROR(QUERY(INDIRECT(""'""&amp;$F103&amp;""'!C3:""&amp;Q103&amp;""""), ""SELECT ""&amp;I103&amp;"", ""&amp;J103&amp;"", ""&amp;K103&amp;"", ""&amp;L103&amp;"", ""&amp;M103&amp;"", ""&amp;N103&amp;"", ""&amp;O103&amp;"", ""&amp;P103&amp;"" WHERE '""&amp;B103&amp;""' CONTAINS D"", 0), """")"),14)</f>
        <v>14</v>
      </c>
      <c r="S103" s="89" t="n">
        <f aca="false">IFERROR(__xludf.dummyfunction("""COMPUTED_VALUE"""),14)</f>
        <v>14</v>
      </c>
      <c r="T103" s="89"/>
      <c r="U103" s="89"/>
      <c r="V103" s="89" t="n">
        <f aca="false">IFERROR(__xludf.dummyfunction("""COMPUTED_VALUE"""),6)</f>
        <v>6</v>
      </c>
      <c r="W103" s="89" t="n">
        <f aca="false">IFERROR(__xludf.dummyfunction("""COMPUTED_VALUE"""),2)</f>
        <v>2</v>
      </c>
      <c r="X103" s="89" t="n">
        <f aca="false">IFERROR(__xludf.dummyfunction("""COMPUTED_VALUE"""),24)</f>
        <v>24</v>
      </c>
      <c r="Y103" s="89" t="n">
        <f aca="false">IFERROR(__xludf.dummyfunction("""COMPUTED_VALUE"""),60)</f>
        <v>60</v>
      </c>
    </row>
    <row r="104" customFormat="false" ht="17.9" hidden="false" customHeight="false" outlineLevel="0" collapsed="false">
      <c r="A104" s="85" t="n">
        <v>103</v>
      </c>
      <c r="B104" s="85" t="n">
        <v>465967</v>
      </c>
      <c r="C104" s="86" t="s">
        <v>203</v>
      </c>
      <c r="D104" s="87" t="s">
        <v>125</v>
      </c>
      <c r="E104" s="88" t="str">
        <f aca="false">D104</f>
        <v>P3115</v>
      </c>
      <c r="F104" s="88" t="str">
        <f aca="false">REPLACE(E104, 1, 3, "")</f>
        <v>15</v>
      </c>
      <c r="G104" s="89" t="str">
        <f aca="true">IFERROR(VLOOKUP(B104,INDIRECT("'"&amp;$F104&amp;"'!D3:D"),1,FALSE()), "Not found")</f>
        <v>Not found</v>
      </c>
      <c r="H104" s="89" t="n">
        <f aca="true">INDIRECT("'"&amp;$F104&amp;"'!D1")</f>
        <v>1</v>
      </c>
      <c r="I104" s="89" t="str">
        <f aca="false">IFERROR(__xludf.dummyfunction("REGEXEXTRACT(ADDRESS(ROW(), 19+$H104), ""[A-Z]+"")"),"T")</f>
        <v>T</v>
      </c>
      <c r="J104" s="89" t="str">
        <f aca="false">IFERROR(__xludf.dummyfunction("REGEXEXTRACT(ADDRESS(ROW(), 25+$H104), ""[A-Z]+"")"),"Z")</f>
        <v>Z</v>
      </c>
      <c r="K104" s="89" t="str">
        <f aca="false">IFERROR(__xludf.dummyfunction("REGEXEXTRACT(ADDRESS(ROW(), 27+$H104), ""[A-Z]+"")"),"AB")</f>
        <v>AB</v>
      </c>
      <c r="L104" s="89" t="str">
        <f aca="false">IFERROR(__xludf.dummyfunction("REGEXEXTRACT(ADDRESS(ROW(), 28+$H104), ""[A-Z]+"")"),"AC")</f>
        <v>AC</v>
      </c>
      <c r="M104" s="89" t="str">
        <f aca="false">IFERROR(__xludf.dummyfunction("REGEXEXTRACT(ADDRESS(ROW(), 34+$H104), ""[A-Z]+"")"),"AI")</f>
        <v>AI</v>
      </c>
      <c r="N104" s="89" t="str">
        <f aca="false">IFERROR(__xludf.dummyfunction("REGEXEXTRACT(ADDRESS(ROW(), 37+$H104), ""[A-Z]+"")"),"AL")</f>
        <v>AL</v>
      </c>
      <c r="O104" s="89" t="str">
        <f aca="false">IFERROR(__xludf.dummyfunction("REGEXEXTRACT(ADDRESS(ROW(), 38+$H104), ""[A-Z]+"")"),"AM")</f>
        <v>AM</v>
      </c>
      <c r="P104" s="89" t="str">
        <f aca="false">IFERROR(__xludf.dummyfunction("REGEXEXTRACT(ADDRESS(ROW(), 39+$H104), ""[A-Z]+"")"),"AN")</f>
        <v>AN</v>
      </c>
      <c r="Q104" s="89" t="str">
        <f aca="false">IFERROR(__xludf.dummyfunction("REGEXEXTRACT(ADDRESS(ROW(), 40+$H104), ""[A-Z]+"")"),"AO")</f>
        <v>AO</v>
      </c>
      <c r="R104" s="89" t="n">
        <f aca="false">IFERROR(__xludf.dummyfunction("IFERROR(QUERY(INDIRECT(""'""&amp;$F104&amp;""'!C3:""&amp;Q104&amp;""""), ""SELECT ""&amp;I104&amp;"", ""&amp;J104&amp;"", ""&amp;K104&amp;"", ""&amp;L104&amp;"", ""&amp;M104&amp;"", ""&amp;N104&amp;"", ""&amp;O104&amp;"", ""&amp;P104&amp;"" WHERE '""&amp;B104&amp;""' CONTAINS D"", 0), """")"),18.5)</f>
        <v>18.5</v>
      </c>
      <c r="S104" s="89" t="n">
        <f aca="false">IFERROR(__xludf.dummyfunction("""COMPUTED_VALUE"""),18)</f>
        <v>18</v>
      </c>
      <c r="T104" s="89"/>
      <c r="U104" s="89"/>
      <c r="V104" s="89" t="n">
        <f aca="false">IFERROR(__xludf.dummyfunction("""COMPUTED_VALUE"""),6)</f>
        <v>6</v>
      </c>
      <c r="W104" s="89"/>
      <c r="X104" s="89" t="n">
        <f aca="false">IFERROR(__xludf.dummyfunction("""COMPUTED_VALUE"""),30)</f>
        <v>30</v>
      </c>
      <c r="Y104" s="89" t="n">
        <f aca="false">IFERROR(__xludf.dummyfunction("""COMPUTED_VALUE"""),72.5)</f>
        <v>72.5</v>
      </c>
    </row>
    <row r="105" customFormat="false" ht="17.9" hidden="false" customHeight="false" outlineLevel="0" collapsed="false">
      <c r="A105" s="85" t="n">
        <v>104</v>
      </c>
      <c r="B105" s="85" t="n">
        <v>465983</v>
      </c>
      <c r="C105" s="86" t="s">
        <v>204</v>
      </c>
      <c r="D105" s="87" t="s">
        <v>87</v>
      </c>
      <c r="E105" s="88" t="str">
        <f aca="false">D105</f>
        <v>P3130</v>
      </c>
      <c r="F105" s="88" t="str">
        <f aca="false">REPLACE(E105, 1, 3, "")</f>
        <v>30</v>
      </c>
      <c r="G105" s="89" t="str">
        <f aca="true">IFERROR(VLOOKUP(B105,INDIRECT("'"&amp;$F105&amp;"'!D3:D"),1,FALSE()), "Not found")</f>
        <v>Not found</v>
      </c>
      <c r="H105" s="89" t="n">
        <f aca="true">INDIRECT("'"&amp;$F105&amp;"'!D1")</f>
        <v>0</v>
      </c>
      <c r="I105" s="89" t="str">
        <f aca="false">IFERROR(__xludf.dummyfunction("REGEXEXTRACT(ADDRESS(ROW(), 19+$H105), ""[A-Z]+"")"),"S")</f>
        <v>S</v>
      </c>
      <c r="J105" s="89" t="str">
        <f aca="false">IFERROR(__xludf.dummyfunction("REGEXEXTRACT(ADDRESS(ROW(), 25+$H105), ""[A-Z]+"")"),"Y")</f>
        <v>Y</v>
      </c>
      <c r="K105" s="89" t="str">
        <f aca="false">IFERROR(__xludf.dummyfunction("REGEXEXTRACT(ADDRESS(ROW(), 27+$H105), ""[A-Z]+"")"),"AA")</f>
        <v>AA</v>
      </c>
      <c r="L105" s="89" t="str">
        <f aca="false">IFERROR(__xludf.dummyfunction("REGEXEXTRACT(ADDRESS(ROW(), 28+$H105), ""[A-Z]+"")"),"AB")</f>
        <v>AB</v>
      </c>
      <c r="M105" s="89" t="str">
        <f aca="false">IFERROR(__xludf.dummyfunction("REGEXEXTRACT(ADDRESS(ROW(), 34+$H105), ""[A-Z]+"")"),"AH")</f>
        <v>AH</v>
      </c>
      <c r="N105" s="89" t="str">
        <f aca="false">IFERROR(__xludf.dummyfunction("REGEXEXTRACT(ADDRESS(ROW(), 37+$H105), ""[A-Z]+"")"),"AK")</f>
        <v>AK</v>
      </c>
      <c r="O105" s="89" t="str">
        <f aca="false">IFERROR(__xludf.dummyfunction("REGEXEXTRACT(ADDRESS(ROW(), 38+$H105), ""[A-Z]+"")"),"AL")</f>
        <v>AL</v>
      </c>
      <c r="P105" s="89" t="str">
        <f aca="false">IFERROR(__xludf.dummyfunction("REGEXEXTRACT(ADDRESS(ROW(), 39+$H105), ""[A-Z]+"")"),"AM")</f>
        <v>AM</v>
      </c>
      <c r="Q105" s="89" t="str">
        <f aca="false">IFERROR(__xludf.dummyfunction("REGEXEXTRACT(ADDRESS(ROW(), 40+$H105), ""[A-Z]+"")"),"AN")</f>
        <v>AN</v>
      </c>
      <c r="R105" s="89" t="n">
        <f aca="false">IFERROR(__xludf.dummyfunction("IFERROR(QUERY(INDIRECT(""'""&amp;$F105&amp;""'!C3:""&amp;Q105&amp;""""), ""SELECT ""&amp;I105&amp;"", ""&amp;J105&amp;"", ""&amp;K105&amp;"", ""&amp;L105&amp;"", ""&amp;M105&amp;"", ""&amp;N105&amp;"", ""&amp;O105&amp;"", ""&amp;P105&amp;"" WHERE '""&amp;B105&amp;""' CONTAINS D"", 0), """")"),20)</f>
        <v>20</v>
      </c>
      <c r="S105" s="89" t="n">
        <f aca="false">IFERROR(__xludf.dummyfunction("""COMPUTED_VALUE"""),17.5)</f>
        <v>17.5</v>
      </c>
      <c r="T105" s="89"/>
      <c r="U105" s="89"/>
      <c r="V105" s="89" t="n">
        <f aca="false">IFERROR(__xludf.dummyfunction("""COMPUTED_VALUE"""),6)</f>
        <v>6</v>
      </c>
      <c r="W105" s="89"/>
      <c r="X105" s="89" t="n">
        <f aca="false">IFERROR(__xludf.dummyfunction("""COMPUTED_VALUE"""),40)</f>
        <v>40</v>
      </c>
      <c r="Y105" s="89" t="n">
        <f aca="false">IFERROR(__xludf.dummyfunction("""COMPUTED_VALUE"""),83.5)</f>
        <v>83.5</v>
      </c>
    </row>
    <row r="106" customFormat="false" ht="17.9" hidden="false" customHeight="false" outlineLevel="0" collapsed="false">
      <c r="A106" s="85" t="n">
        <v>105</v>
      </c>
      <c r="B106" s="85" t="n">
        <v>465987</v>
      </c>
      <c r="C106" s="86" t="s">
        <v>205</v>
      </c>
      <c r="D106" s="87" t="s">
        <v>100</v>
      </c>
      <c r="E106" s="88" t="str">
        <f aca="false">D106</f>
        <v>P3112</v>
      </c>
      <c r="F106" s="88" t="str">
        <f aca="false">REPLACE(E106, 1, 3, "")</f>
        <v>12</v>
      </c>
      <c r="G106" s="89" t="str">
        <f aca="true">IFERROR(VLOOKUP(B106,INDIRECT("'"&amp;$F106&amp;"'!D3:D"),1,FALSE()), "Not found")</f>
        <v>Not found</v>
      </c>
      <c r="H106" s="89" t="n">
        <f aca="true">INDIRECT("'"&amp;$F106&amp;"'!D1")</f>
        <v>0</v>
      </c>
      <c r="I106" s="89" t="str">
        <f aca="false">IFERROR(__xludf.dummyfunction("REGEXEXTRACT(ADDRESS(ROW(), 19+$H106), ""[A-Z]+"")"),"S")</f>
        <v>S</v>
      </c>
      <c r="J106" s="89" t="str">
        <f aca="false">IFERROR(__xludf.dummyfunction("REGEXEXTRACT(ADDRESS(ROW(), 25+$H106), ""[A-Z]+"")"),"Y")</f>
        <v>Y</v>
      </c>
      <c r="K106" s="89" t="str">
        <f aca="false">IFERROR(__xludf.dummyfunction("REGEXEXTRACT(ADDRESS(ROW(), 27+$H106), ""[A-Z]+"")"),"AA")</f>
        <v>AA</v>
      </c>
      <c r="L106" s="89" t="str">
        <f aca="false">IFERROR(__xludf.dummyfunction("REGEXEXTRACT(ADDRESS(ROW(), 28+$H106), ""[A-Z]+"")"),"AB")</f>
        <v>AB</v>
      </c>
      <c r="M106" s="89" t="str">
        <f aca="false">IFERROR(__xludf.dummyfunction("REGEXEXTRACT(ADDRESS(ROW(), 34+$H106), ""[A-Z]+"")"),"AH")</f>
        <v>AH</v>
      </c>
      <c r="N106" s="89" t="str">
        <f aca="false">IFERROR(__xludf.dummyfunction("REGEXEXTRACT(ADDRESS(ROW(), 37+$H106), ""[A-Z]+"")"),"AK")</f>
        <v>AK</v>
      </c>
      <c r="O106" s="89" t="str">
        <f aca="false">IFERROR(__xludf.dummyfunction("REGEXEXTRACT(ADDRESS(ROW(), 38+$H106), ""[A-Z]+"")"),"AL")</f>
        <v>AL</v>
      </c>
      <c r="P106" s="89" t="str">
        <f aca="false">IFERROR(__xludf.dummyfunction("REGEXEXTRACT(ADDRESS(ROW(), 39+$H106), ""[A-Z]+"")"),"AM")</f>
        <v>AM</v>
      </c>
      <c r="Q106" s="89" t="str">
        <f aca="false">IFERROR(__xludf.dummyfunction("REGEXEXTRACT(ADDRESS(ROW(), 40+$H106), ""[A-Z]+"")"),"AN")</f>
        <v>AN</v>
      </c>
      <c r="R106" s="89" t="n">
        <f aca="false">IFERROR(__xludf.dummyfunction("IFERROR(QUERY(INDIRECT(""'""&amp;$F106&amp;""'!C3:""&amp;Q106&amp;""""), ""SELECT ""&amp;I106&amp;"", ""&amp;J106&amp;"", ""&amp;K106&amp;"", ""&amp;L106&amp;"", ""&amp;M106&amp;"", ""&amp;N106&amp;"", ""&amp;O106&amp;"", ""&amp;P106&amp;"" WHERE '""&amp;B106&amp;""' CONTAINS D"", 0), """")"),18)</f>
        <v>18</v>
      </c>
      <c r="S106" s="89" t="n">
        <f aca="false">IFERROR(__xludf.dummyfunction("""COMPUTED_VALUE"""),18)</f>
        <v>18</v>
      </c>
      <c r="T106" s="89"/>
      <c r="U106" s="89"/>
      <c r="V106" s="89" t="n">
        <f aca="false">IFERROR(__xludf.dummyfunction("""COMPUTED_VALUE"""),6)</f>
        <v>6</v>
      </c>
      <c r="W106" s="89"/>
      <c r="X106" s="89" t="n">
        <f aca="false">IFERROR(__xludf.dummyfunction("""COMPUTED_VALUE"""),40)</f>
        <v>40</v>
      </c>
      <c r="Y106" s="89" t="n">
        <f aca="false">IFERROR(__xludf.dummyfunction("""COMPUTED_VALUE"""),82)</f>
        <v>82</v>
      </c>
    </row>
    <row r="107" customFormat="false" ht="17.9" hidden="false" customHeight="false" outlineLevel="0" collapsed="false">
      <c r="A107" s="85" t="n">
        <v>106</v>
      </c>
      <c r="B107" s="85" t="n">
        <v>465993</v>
      </c>
      <c r="C107" s="86" t="s">
        <v>206</v>
      </c>
      <c r="D107" s="87" t="s">
        <v>95</v>
      </c>
      <c r="E107" s="88" t="str">
        <f aca="false">D107</f>
        <v>P3106</v>
      </c>
      <c r="F107" s="88" t="str">
        <f aca="false">REPLACE(E107, 1, 3, "")</f>
        <v>06</v>
      </c>
      <c r="G107" s="89" t="str">
        <f aca="true">IFERROR(VLOOKUP(B107,INDIRECT("'"&amp;$F107&amp;"'!D3:D"),1,FALSE()), "Not found")</f>
        <v>Not found</v>
      </c>
      <c r="H107" s="89" t="n">
        <f aca="true">INDIRECT("'"&amp;$F107&amp;"'!D1")</f>
        <v>0</v>
      </c>
      <c r="I107" s="89" t="str">
        <f aca="false">IFERROR(__xludf.dummyfunction("REGEXEXTRACT(ADDRESS(ROW(), 19+$H107), ""[A-Z]+"")"),"S")</f>
        <v>S</v>
      </c>
      <c r="J107" s="89" t="str">
        <f aca="false">IFERROR(__xludf.dummyfunction("REGEXEXTRACT(ADDRESS(ROW(), 25+$H107), ""[A-Z]+"")"),"Y")</f>
        <v>Y</v>
      </c>
      <c r="K107" s="89" t="str">
        <f aca="false">IFERROR(__xludf.dummyfunction("REGEXEXTRACT(ADDRESS(ROW(), 27+$H107), ""[A-Z]+"")"),"AA")</f>
        <v>AA</v>
      </c>
      <c r="L107" s="89" t="str">
        <f aca="false">IFERROR(__xludf.dummyfunction("REGEXEXTRACT(ADDRESS(ROW(), 28+$H107), ""[A-Z]+"")"),"AB")</f>
        <v>AB</v>
      </c>
      <c r="M107" s="89" t="str">
        <f aca="false">IFERROR(__xludf.dummyfunction("REGEXEXTRACT(ADDRESS(ROW(), 34+$H107), ""[A-Z]+"")"),"AH")</f>
        <v>AH</v>
      </c>
      <c r="N107" s="89" t="str">
        <f aca="false">IFERROR(__xludf.dummyfunction("REGEXEXTRACT(ADDRESS(ROW(), 37+$H107), ""[A-Z]+"")"),"AK")</f>
        <v>AK</v>
      </c>
      <c r="O107" s="89" t="str">
        <f aca="false">IFERROR(__xludf.dummyfunction("REGEXEXTRACT(ADDRESS(ROW(), 38+$H107), ""[A-Z]+"")"),"AL")</f>
        <v>AL</v>
      </c>
      <c r="P107" s="89" t="str">
        <f aca="false">IFERROR(__xludf.dummyfunction("REGEXEXTRACT(ADDRESS(ROW(), 39+$H107), ""[A-Z]+"")"),"AM")</f>
        <v>AM</v>
      </c>
      <c r="Q107" s="89" t="str">
        <f aca="false">IFERROR(__xludf.dummyfunction("REGEXEXTRACT(ADDRESS(ROW(), 40+$H107), ""[A-Z]+"")"),"AN")</f>
        <v>AN</v>
      </c>
      <c r="R107" s="89" t="n">
        <f aca="false">IFERROR(__xludf.dummyfunction("IFERROR(QUERY(INDIRECT(""'""&amp;$F107&amp;""'!C3:""&amp;Q107&amp;""""), ""SELECT ""&amp;I107&amp;"", ""&amp;J107&amp;"", ""&amp;K107&amp;"", ""&amp;L107&amp;"", ""&amp;M107&amp;"", ""&amp;N107&amp;"", ""&amp;O107&amp;"", ""&amp;P107&amp;"" WHERE '""&amp;B107&amp;""' CONTAINS D"", 0), """")"),18)</f>
        <v>18</v>
      </c>
      <c r="S107" s="89" t="n">
        <f aca="false">IFERROR(__xludf.dummyfunction("""COMPUTED_VALUE"""),18)</f>
        <v>18</v>
      </c>
      <c r="T107" s="89"/>
      <c r="U107" s="89"/>
      <c r="V107" s="89" t="n">
        <f aca="false">IFERROR(__xludf.dummyfunction("""COMPUTED_VALUE"""),10)</f>
        <v>10</v>
      </c>
      <c r="W107" s="89" t="n">
        <f aca="false">IFERROR(__xludf.dummyfunction("""COMPUTED_VALUE"""),3)</f>
        <v>3</v>
      </c>
      <c r="X107" s="89" t="n">
        <f aca="false">IFERROR(__xludf.dummyfunction("""COMPUTED_VALUE"""),40)</f>
        <v>40</v>
      </c>
      <c r="Y107" s="89" t="n">
        <f aca="false">IFERROR(__xludf.dummyfunction("""COMPUTED_VALUE"""),89)</f>
        <v>89</v>
      </c>
    </row>
    <row r="108" customFormat="false" ht="17.9" hidden="false" customHeight="false" outlineLevel="0" collapsed="false">
      <c r="A108" s="85" t="n">
        <v>107</v>
      </c>
      <c r="B108" s="85" t="n">
        <v>463221</v>
      </c>
      <c r="C108" s="86" t="s">
        <v>207</v>
      </c>
      <c r="D108" s="87" t="s">
        <v>127</v>
      </c>
      <c r="E108" s="88" t="str">
        <f aca="false">D108</f>
        <v>P3131</v>
      </c>
      <c r="F108" s="88" t="str">
        <f aca="false">REPLACE(E108, 1, 3, "")</f>
        <v>31</v>
      </c>
      <c r="G108" s="89" t="str">
        <f aca="true">IFERROR(VLOOKUP(B108,INDIRECT("'"&amp;$F108&amp;"'!D3:D"),1,FALSE()), "Not found")</f>
        <v>Not found</v>
      </c>
      <c r="H108" s="89" t="n">
        <f aca="true">INDIRECT("'"&amp;$F108&amp;"'!D1")</f>
        <v>0</v>
      </c>
      <c r="I108" s="89" t="str">
        <f aca="false">IFERROR(__xludf.dummyfunction("REGEXEXTRACT(ADDRESS(ROW(), 19+$H108), ""[A-Z]+"")"),"S")</f>
        <v>S</v>
      </c>
      <c r="J108" s="89" t="str">
        <f aca="false">IFERROR(__xludf.dummyfunction("REGEXEXTRACT(ADDRESS(ROW(), 25+$H108), ""[A-Z]+"")"),"Y")</f>
        <v>Y</v>
      </c>
      <c r="K108" s="89" t="str">
        <f aca="false">IFERROR(__xludf.dummyfunction("REGEXEXTRACT(ADDRESS(ROW(), 27+$H108), ""[A-Z]+"")"),"AA")</f>
        <v>AA</v>
      </c>
      <c r="L108" s="89" t="str">
        <f aca="false">IFERROR(__xludf.dummyfunction("REGEXEXTRACT(ADDRESS(ROW(), 28+$H108), ""[A-Z]+"")"),"AB")</f>
        <v>AB</v>
      </c>
      <c r="M108" s="89" t="str">
        <f aca="false">IFERROR(__xludf.dummyfunction("REGEXEXTRACT(ADDRESS(ROW(), 34+$H108), ""[A-Z]+"")"),"AH")</f>
        <v>AH</v>
      </c>
      <c r="N108" s="89" t="str">
        <f aca="false">IFERROR(__xludf.dummyfunction("REGEXEXTRACT(ADDRESS(ROW(), 37+$H108), ""[A-Z]+"")"),"AK")</f>
        <v>AK</v>
      </c>
      <c r="O108" s="89" t="str">
        <f aca="false">IFERROR(__xludf.dummyfunction("REGEXEXTRACT(ADDRESS(ROW(), 38+$H108), ""[A-Z]+"")"),"AL")</f>
        <v>AL</v>
      </c>
      <c r="P108" s="89" t="str">
        <f aca="false">IFERROR(__xludf.dummyfunction("REGEXEXTRACT(ADDRESS(ROW(), 39+$H108), ""[A-Z]+"")"),"AM")</f>
        <v>AM</v>
      </c>
      <c r="Q108" s="89" t="str">
        <f aca="false">IFERROR(__xludf.dummyfunction("REGEXEXTRACT(ADDRESS(ROW(), 40+$H108), ""[A-Z]+"")"),"AN")</f>
        <v>AN</v>
      </c>
      <c r="R108" s="89" t="n">
        <f aca="false">IFERROR(__xludf.dummyfunction("IFERROR(QUERY(INDIRECT(""'""&amp;$F108&amp;""'!C3:""&amp;Q108&amp;""""), ""SELECT ""&amp;I108&amp;"", ""&amp;J108&amp;"", ""&amp;K108&amp;"", ""&amp;L108&amp;"", ""&amp;M108&amp;"", ""&amp;N108&amp;"", ""&amp;O108&amp;"", ""&amp;P108&amp;"" WHERE '""&amp;B108&amp;""' CONTAINS D"", 0), """")"),15)</f>
        <v>15</v>
      </c>
      <c r="S108" s="89" t="n">
        <f aca="false">IFERROR(__xludf.dummyfunction("""COMPUTED_VALUE"""),14)</f>
        <v>14</v>
      </c>
      <c r="T108" s="89"/>
      <c r="U108" s="89"/>
      <c r="V108" s="89" t="n">
        <f aca="false">IFERROR(__xludf.dummyfunction("""COMPUTED_VALUE"""),6)</f>
        <v>6</v>
      </c>
      <c r="W108" s="89"/>
      <c r="X108" s="89" t="n">
        <f aca="false">IFERROR(__xludf.dummyfunction("""COMPUTED_VALUE"""),25)</f>
        <v>25</v>
      </c>
      <c r="Y108" s="89" t="n">
        <f aca="false">IFERROR(__xludf.dummyfunction("""COMPUTED_VALUE"""),60)</f>
        <v>60</v>
      </c>
    </row>
    <row r="109" customFormat="false" ht="17.9" hidden="false" customHeight="false" outlineLevel="0" collapsed="false">
      <c r="A109" s="85" t="n">
        <v>108</v>
      </c>
      <c r="B109" s="85" t="n">
        <v>406492</v>
      </c>
      <c r="C109" s="86" t="s">
        <v>208</v>
      </c>
      <c r="D109" s="87" t="s">
        <v>81</v>
      </c>
      <c r="E109" s="88" t="str">
        <f aca="false">D109</f>
        <v>P3108</v>
      </c>
      <c r="F109" s="88" t="str">
        <f aca="false">REPLACE(E109, 1, 3, "")</f>
        <v>08</v>
      </c>
      <c r="G109" s="89" t="str">
        <f aca="true">IFERROR(VLOOKUP(B109,INDIRECT("'"&amp;$F109&amp;"'!D3:D"),1,FALSE()), "Not found")</f>
        <v>Not found</v>
      </c>
      <c r="H109" s="89" t="n">
        <f aca="true">INDIRECT("'"&amp;$F109&amp;"'!D1")</f>
        <v>0</v>
      </c>
      <c r="I109" s="89" t="str">
        <f aca="false">IFERROR(__xludf.dummyfunction("REGEXEXTRACT(ADDRESS(ROW(), 19+$H109), ""[A-Z]+"")"),"S")</f>
        <v>S</v>
      </c>
      <c r="J109" s="89" t="str">
        <f aca="false">IFERROR(__xludf.dummyfunction("REGEXEXTRACT(ADDRESS(ROW(), 25+$H109), ""[A-Z]+"")"),"Y")</f>
        <v>Y</v>
      </c>
      <c r="K109" s="89" t="str">
        <f aca="false">IFERROR(__xludf.dummyfunction("REGEXEXTRACT(ADDRESS(ROW(), 27+$H109), ""[A-Z]+"")"),"AA")</f>
        <v>AA</v>
      </c>
      <c r="L109" s="89" t="str">
        <f aca="false">IFERROR(__xludf.dummyfunction("REGEXEXTRACT(ADDRESS(ROW(), 28+$H109), ""[A-Z]+"")"),"AB")</f>
        <v>AB</v>
      </c>
      <c r="M109" s="89" t="str">
        <f aca="false">IFERROR(__xludf.dummyfunction("REGEXEXTRACT(ADDRESS(ROW(), 34+$H109), ""[A-Z]+"")"),"AH")</f>
        <v>AH</v>
      </c>
      <c r="N109" s="89" t="str">
        <f aca="false">IFERROR(__xludf.dummyfunction("REGEXEXTRACT(ADDRESS(ROW(), 37+$H109), ""[A-Z]+"")"),"AK")</f>
        <v>AK</v>
      </c>
      <c r="O109" s="89" t="str">
        <f aca="false">IFERROR(__xludf.dummyfunction("REGEXEXTRACT(ADDRESS(ROW(), 38+$H109), ""[A-Z]+"")"),"AL")</f>
        <v>AL</v>
      </c>
      <c r="P109" s="89" t="str">
        <f aca="false">IFERROR(__xludf.dummyfunction("REGEXEXTRACT(ADDRESS(ROW(), 39+$H109), ""[A-Z]+"")"),"AM")</f>
        <v>AM</v>
      </c>
      <c r="Q109" s="89" t="str">
        <f aca="false">IFERROR(__xludf.dummyfunction("REGEXEXTRACT(ADDRESS(ROW(), 40+$H109), ""[A-Z]+"")"),"AN")</f>
        <v>AN</v>
      </c>
      <c r="R109" s="89" t="n">
        <f aca="false">IFERROR(__xludf.dummyfunction("IFERROR(QUERY(INDIRECT(""'""&amp;$F109&amp;""'!C3:""&amp;Q109&amp;""""), ""SELECT ""&amp;I109&amp;"", ""&amp;J109&amp;"", ""&amp;K109&amp;"", ""&amp;L109&amp;"", ""&amp;M109&amp;"", ""&amp;N109&amp;"", ""&amp;O109&amp;"", ""&amp;P109&amp;"" WHERE '""&amp;B109&amp;""' CONTAINS D"", 0), """")"),20)</f>
        <v>20</v>
      </c>
      <c r="S109" s="89" t="n">
        <f aca="false">IFERROR(__xludf.dummyfunction("""COMPUTED_VALUE"""),20)</f>
        <v>20</v>
      </c>
      <c r="T109" s="89"/>
      <c r="U109" s="89"/>
      <c r="V109" s="89" t="n">
        <f aca="false">IFERROR(__xludf.dummyfunction("""COMPUTED_VALUE"""),8)</f>
        <v>8</v>
      </c>
      <c r="W109" s="89"/>
      <c r="X109" s="89" t="n">
        <f aca="false">IFERROR(__xludf.dummyfunction("""COMPUTED_VALUE"""),40)</f>
        <v>40</v>
      </c>
      <c r="Y109" s="89" t="n">
        <f aca="false">IFERROR(__xludf.dummyfunction("""COMPUTED_VALUE"""),88)</f>
        <v>88</v>
      </c>
    </row>
    <row r="110" customFormat="false" ht="17.9" hidden="false" customHeight="false" outlineLevel="0" collapsed="false">
      <c r="A110" s="85" t="n">
        <v>109</v>
      </c>
      <c r="B110" s="85" t="n">
        <v>466042</v>
      </c>
      <c r="C110" s="86" t="s">
        <v>209</v>
      </c>
      <c r="D110" s="87" t="s">
        <v>102</v>
      </c>
      <c r="E110" s="88" t="str">
        <f aca="false">D110</f>
        <v>P3110</v>
      </c>
      <c r="F110" s="88" t="str">
        <f aca="false">REPLACE(E110, 1, 3, "")</f>
        <v>10</v>
      </c>
      <c r="G110" s="89" t="str">
        <f aca="true">IFERROR(VLOOKUP(B110,INDIRECT("'"&amp;$F110&amp;"'!D3:D"),1,FALSE()), "Not found")</f>
        <v>Not found</v>
      </c>
      <c r="H110" s="89" t="n">
        <f aca="true">INDIRECT("'"&amp;$F110&amp;"'!D1")</f>
        <v>0</v>
      </c>
      <c r="I110" s="89" t="str">
        <f aca="false">IFERROR(__xludf.dummyfunction("REGEXEXTRACT(ADDRESS(ROW(), 19+$H110), ""[A-Z]+"")"),"S")</f>
        <v>S</v>
      </c>
      <c r="J110" s="89" t="str">
        <f aca="false">IFERROR(__xludf.dummyfunction("REGEXEXTRACT(ADDRESS(ROW(), 25+$H110), ""[A-Z]+"")"),"Y")</f>
        <v>Y</v>
      </c>
      <c r="K110" s="89" t="str">
        <f aca="false">IFERROR(__xludf.dummyfunction("REGEXEXTRACT(ADDRESS(ROW(), 27+$H110), ""[A-Z]+"")"),"AA")</f>
        <v>AA</v>
      </c>
      <c r="L110" s="89" t="str">
        <f aca="false">IFERROR(__xludf.dummyfunction("REGEXEXTRACT(ADDRESS(ROW(), 28+$H110), ""[A-Z]+"")"),"AB")</f>
        <v>AB</v>
      </c>
      <c r="M110" s="89" t="str">
        <f aca="false">IFERROR(__xludf.dummyfunction("REGEXEXTRACT(ADDRESS(ROW(), 34+$H110), ""[A-Z]+"")"),"AH")</f>
        <v>AH</v>
      </c>
      <c r="N110" s="89" t="str">
        <f aca="false">IFERROR(__xludf.dummyfunction("REGEXEXTRACT(ADDRESS(ROW(), 37+$H110), ""[A-Z]+"")"),"AK")</f>
        <v>AK</v>
      </c>
      <c r="O110" s="89" t="str">
        <f aca="false">IFERROR(__xludf.dummyfunction("REGEXEXTRACT(ADDRESS(ROW(), 38+$H110), ""[A-Z]+"")"),"AL")</f>
        <v>AL</v>
      </c>
      <c r="P110" s="89" t="str">
        <f aca="false">IFERROR(__xludf.dummyfunction("REGEXEXTRACT(ADDRESS(ROW(), 39+$H110), ""[A-Z]+"")"),"AM")</f>
        <v>AM</v>
      </c>
      <c r="Q110" s="89" t="str">
        <f aca="false">IFERROR(__xludf.dummyfunction("REGEXEXTRACT(ADDRESS(ROW(), 40+$H110), ""[A-Z]+"")"),"AN")</f>
        <v>AN</v>
      </c>
      <c r="R110" s="89" t="n">
        <f aca="false">IFERROR(__xludf.dummyfunction("IFERROR(QUERY(INDIRECT(""'""&amp;$F110&amp;""'!C3:""&amp;Q110&amp;""""), ""SELECT ""&amp;I110&amp;"", ""&amp;J110&amp;"", ""&amp;K110&amp;"", ""&amp;L110&amp;"", ""&amp;M110&amp;"", ""&amp;N110&amp;"", ""&amp;O110&amp;"", ""&amp;P110&amp;"" WHERE '""&amp;B110&amp;""' CONTAINS D"", 0), """")"),17)</f>
        <v>17</v>
      </c>
      <c r="S110" s="89" t="n">
        <f aca="false">IFERROR(__xludf.dummyfunction("""COMPUTED_VALUE"""),18)</f>
        <v>18</v>
      </c>
      <c r="T110" s="89"/>
      <c r="U110" s="89"/>
      <c r="V110" s="89" t="n">
        <f aca="false">IFERROR(__xludf.dummyfunction("""COMPUTED_VALUE"""),10)</f>
        <v>10</v>
      </c>
      <c r="W110" s="89"/>
      <c r="X110" s="89" t="n">
        <f aca="false">IFERROR(__xludf.dummyfunction("""COMPUTED_VALUE"""),40)</f>
        <v>40</v>
      </c>
      <c r="Y110" s="89" t="n">
        <f aca="false">IFERROR(__xludf.dummyfunction("""COMPUTED_VALUE"""),85)</f>
        <v>85</v>
      </c>
    </row>
    <row r="111" customFormat="false" ht="17.9" hidden="false" customHeight="false" outlineLevel="0" collapsed="false">
      <c r="A111" s="85" t="n">
        <v>110</v>
      </c>
      <c r="B111" s="85" t="n">
        <v>466049</v>
      </c>
      <c r="C111" s="86" t="s">
        <v>210</v>
      </c>
      <c r="D111" s="87" t="s">
        <v>83</v>
      </c>
      <c r="E111" s="88" t="str">
        <f aca="false">D111</f>
        <v>P3109</v>
      </c>
      <c r="F111" s="88" t="str">
        <f aca="false">REPLACE(E111, 1, 3, "")</f>
        <v>09</v>
      </c>
      <c r="G111" s="89" t="str">
        <f aca="true">IFERROR(VLOOKUP(B111,INDIRECT("'"&amp;$F111&amp;"'!D3:D"),1,FALSE()), "Not found")</f>
        <v>Not found</v>
      </c>
      <c r="H111" s="89" t="n">
        <f aca="true">INDIRECT("'"&amp;$F111&amp;"'!D1")</f>
        <v>0</v>
      </c>
      <c r="I111" s="89" t="str">
        <f aca="false">IFERROR(__xludf.dummyfunction("REGEXEXTRACT(ADDRESS(ROW(), 19+$H111), ""[A-Z]+"")"),"S")</f>
        <v>S</v>
      </c>
      <c r="J111" s="89" t="str">
        <f aca="false">IFERROR(__xludf.dummyfunction("REGEXEXTRACT(ADDRESS(ROW(), 25+$H111), ""[A-Z]+"")"),"Y")</f>
        <v>Y</v>
      </c>
      <c r="K111" s="89" t="str">
        <f aca="false">IFERROR(__xludf.dummyfunction("REGEXEXTRACT(ADDRESS(ROW(), 27+$H111), ""[A-Z]+"")"),"AA")</f>
        <v>AA</v>
      </c>
      <c r="L111" s="89" t="str">
        <f aca="false">IFERROR(__xludf.dummyfunction("REGEXEXTRACT(ADDRESS(ROW(), 28+$H111), ""[A-Z]+"")"),"AB")</f>
        <v>AB</v>
      </c>
      <c r="M111" s="89" t="str">
        <f aca="false">IFERROR(__xludf.dummyfunction("REGEXEXTRACT(ADDRESS(ROW(), 34+$H111), ""[A-Z]+"")"),"AH")</f>
        <v>AH</v>
      </c>
      <c r="N111" s="89" t="str">
        <f aca="false">IFERROR(__xludf.dummyfunction("REGEXEXTRACT(ADDRESS(ROW(), 37+$H111), ""[A-Z]+"")"),"AK")</f>
        <v>AK</v>
      </c>
      <c r="O111" s="89" t="str">
        <f aca="false">IFERROR(__xludf.dummyfunction("REGEXEXTRACT(ADDRESS(ROW(), 38+$H111), ""[A-Z]+"")"),"AL")</f>
        <v>AL</v>
      </c>
      <c r="P111" s="89" t="str">
        <f aca="false">IFERROR(__xludf.dummyfunction("REGEXEXTRACT(ADDRESS(ROW(), 39+$H111), ""[A-Z]+"")"),"AM")</f>
        <v>AM</v>
      </c>
      <c r="Q111" s="89" t="str">
        <f aca="false">IFERROR(__xludf.dummyfunction("REGEXEXTRACT(ADDRESS(ROW(), 40+$H111), ""[A-Z]+"")"),"AN")</f>
        <v>AN</v>
      </c>
      <c r="R111" s="89" t="n">
        <f aca="false">IFERROR(__xludf.dummyfunction("IFERROR(QUERY(INDIRECT(""'""&amp;$F111&amp;""'!C3:""&amp;Q111&amp;""""), ""SELECT ""&amp;I111&amp;"", ""&amp;J111&amp;"", ""&amp;K111&amp;"", ""&amp;L111&amp;"", ""&amp;M111&amp;"", ""&amp;N111&amp;"", ""&amp;O111&amp;"", ""&amp;P111&amp;"" WHERE '""&amp;B111&amp;""' CONTAINS D"", 0), """")"),12)</f>
        <v>12</v>
      </c>
      <c r="S111" s="89" t="n">
        <f aca="false">IFERROR(__xludf.dummyfunction("""COMPUTED_VALUE"""),14)</f>
        <v>14</v>
      </c>
      <c r="T111" s="89"/>
      <c r="U111" s="89"/>
      <c r="V111" s="89" t="n">
        <f aca="false">IFERROR(__xludf.dummyfunction("""COMPUTED_VALUE"""),6.02)</f>
        <v>6.02</v>
      </c>
      <c r="W111" s="89"/>
      <c r="X111" s="89" t="n">
        <f aca="false">IFERROR(__xludf.dummyfunction("""COMPUTED_VALUE"""),31)</f>
        <v>31</v>
      </c>
      <c r="Y111" s="89" t="n">
        <f aca="false">IFERROR(__xludf.dummyfunction("""COMPUTED_VALUE"""),63.02)</f>
        <v>63.02</v>
      </c>
    </row>
    <row r="112" customFormat="false" ht="17.9" hidden="false" customHeight="false" outlineLevel="0" collapsed="false">
      <c r="A112" s="85" t="n">
        <v>111</v>
      </c>
      <c r="B112" s="85" t="n">
        <v>407796</v>
      </c>
      <c r="C112" s="86" t="s">
        <v>211</v>
      </c>
      <c r="D112" s="87" t="s">
        <v>127</v>
      </c>
      <c r="E112" s="88" t="str">
        <f aca="false">D112</f>
        <v>P3131</v>
      </c>
      <c r="F112" s="88" t="str">
        <f aca="false">REPLACE(E112, 1, 3, "")</f>
        <v>31</v>
      </c>
      <c r="G112" s="89" t="str">
        <f aca="true">IFERROR(VLOOKUP(B112,INDIRECT("'"&amp;$F112&amp;"'!D3:D"),1,FALSE()), "Not found")</f>
        <v>Not found</v>
      </c>
      <c r="H112" s="89" t="n">
        <f aca="true">INDIRECT("'"&amp;$F112&amp;"'!D1")</f>
        <v>0</v>
      </c>
      <c r="I112" s="89" t="str">
        <f aca="false">IFERROR(__xludf.dummyfunction("REGEXEXTRACT(ADDRESS(ROW(), 19+$H112), ""[A-Z]+"")"),"S")</f>
        <v>S</v>
      </c>
      <c r="J112" s="89" t="str">
        <f aca="false">IFERROR(__xludf.dummyfunction("REGEXEXTRACT(ADDRESS(ROW(), 25+$H112), ""[A-Z]+"")"),"Y")</f>
        <v>Y</v>
      </c>
      <c r="K112" s="89" t="str">
        <f aca="false">IFERROR(__xludf.dummyfunction("REGEXEXTRACT(ADDRESS(ROW(), 27+$H112), ""[A-Z]+"")"),"AA")</f>
        <v>AA</v>
      </c>
      <c r="L112" s="89" t="str">
        <f aca="false">IFERROR(__xludf.dummyfunction("REGEXEXTRACT(ADDRESS(ROW(), 28+$H112), ""[A-Z]+"")"),"AB")</f>
        <v>AB</v>
      </c>
      <c r="M112" s="89" t="str">
        <f aca="false">IFERROR(__xludf.dummyfunction("REGEXEXTRACT(ADDRESS(ROW(), 34+$H112), ""[A-Z]+"")"),"AH")</f>
        <v>AH</v>
      </c>
      <c r="N112" s="89" t="str">
        <f aca="false">IFERROR(__xludf.dummyfunction("REGEXEXTRACT(ADDRESS(ROW(), 37+$H112), ""[A-Z]+"")"),"AK")</f>
        <v>AK</v>
      </c>
      <c r="O112" s="89" t="str">
        <f aca="false">IFERROR(__xludf.dummyfunction("REGEXEXTRACT(ADDRESS(ROW(), 38+$H112), ""[A-Z]+"")"),"AL")</f>
        <v>AL</v>
      </c>
      <c r="P112" s="89" t="str">
        <f aca="false">IFERROR(__xludf.dummyfunction("REGEXEXTRACT(ADDRESS(ROW(), 39+$H112), ""[A-Z]+"")"),"AM")</f>
        <v>AM</v>
      </c>
      <c r="Q112" s="89" t="str">
        <f aca="false">IFERROR(__xludf.dummyfunction("REGEXEXTRACT(ADDRESS(ROW(), 40+$H112), ""[A-Z]+"")"),"AN")</f>
        <v>AN</v>
      </c>
      <c r="R112" s="89" t="n">
        <f aca="false">IFERROR(__xludf.dummyfunction("IFERROR(QUERY(INDIRECT(""'""&amp;$F112&amp;""'!C3:""&amp;Q112&amp;""""), ""SELECT ""&amp;I112&amp;"", ""&amp;J112&amp;"", ""&amp;K112&amp;"", ""&amp;L112&amp;"", ""&amp;M112&amp;"", ""&amp;N112&amp;"", ""&amp;O112&amp;"", ""&amp;P112&amp;"" WHERE '""&amp;B112&amp;""' CONTAINS D"", 0), """")"),17)</f>
        <v>17</v>
      </c>
      <c r="S112" s="89" t="n">
        <f aca="false">IFERROR(__xludf.dummyfunction("""COMPUTED_VALUE"""),12)</f>
        <v>12</v>
      </c>
      <c r="T112" s="89"/>
      <c r="U112" s="89"/>
      <c r="V112" s="89" t="n">
        <f aca="false">IFERROR(__xludf.dummyfunction("""COMPUTED_VALUE"""),6)</f>
        <v>6</v>
      </c>
      <c r="W112" s="89"/>
      <c r="X112" s="89" t="n">
        <f aca="false">IFERROR(__xludf.dummyfunction("""COMPUTED_VALUE"""),25)</f>
        <v>25</v>
      </c>
      <c r="Y112" s="89" t="n">
        <f aca="false">IFERROR(__xludf.dummyfunction("""COMPUTED_VALUE"""),60)</f>
        <v>60</v>
      </c>
    </row>
    <row r="113" customFormat="false" ht="17.9" hidden="false" customHeight="false" outlineLevel="0" collapsed="false">
      <c r="A113" s="85" t="n">
        <v>112</v>
      </c>
      <c r="B113" s="85" t="n">
        <v>407795</v>
      </c>
      <c r="C113" s="86" t="s">
        <v>212</v>
      </c>
      <c r="D113" s="87" t="s">
        <v>85</v>
      </c>
      <c r="E113" s="88" t="str">
        <f aca="false">D113</f>
        <v>P3132</v>
      </c>
      <c r="F113" s="88" t="str">
        <f aca="false">REPLACE(E113, 1, 3, "")</f>
        <v>32</v>
      </c>
      <c r="G113" s="89" t="str">
        <f aca="true">IFERROR(VLOOKUP(B113,INDIRECT("'"&amp;$F113&amp;"'!D3:D"),1,FALSE()), "Not found")</f>
        <v>Not found</v>
      </c>
      <c r="H113" s="89" t="n">
        <f aca="true">INDIRECT("'"&amp;$F113&amp;"'!D1")</f>
        <v>0</v>
      </c>
      <c r="I113" s="89" t="str">
        <f aca="false">IFERROR(__xludf.dummyfunction("REGEXEXTRACT(ADDRESS(ROW(), 19+$H113), ""[A-Z]+"")"),"S")</f>
        <v>S</v>
      </c>
      <c r="J113" s="89" t="str">
        <f aca="false">IFERROR(__xludf.dummyfunction("REGEXEXTRACT(ADDRESS(ROW(), 25+$H113), ""[A-Z]+"")"),"Y")</f>
        <v>Y</v>
      </c>
      <c r="K113" s="89" t="str">
        <f aca="false">IFERROR(__xludf.dummyfunction("REGEXEXTRACT(ADDRESS(ROW(), 27+$H113), ""[A-Z]+"")"),"AA")</f>
        <v>AA</v>
      </c>
      <c r="L113" s="89" t="str">
        <f aca="false">IFERROR(__xludf.dummyfunction("REGEXEXTRACT(ADDRESS(ROW(), 28+$H113), ""[A-Z]+"")"),"AB")</f>
        <v>AB</v>
      </c>
      <c r="M113" s="89" t="str">
        <f aca="false">IFERROR(__xludf.dummyfunction("REGEXEXTRACT(ADDRESS(ROW(), 34+$H113), ""[A-Z]+"")"),"AH")</f>
        <v>AH</v>
      </c>
      <c r="N113" s="89" t="str">
        <f aca="false">IFERROR(__xludf.dummyfunction("REGEXEXTRACT(ADDRESS(ROW(), 37+$H113), ""[A-Z]+"")"),"AK")</f>
        <v>AK</v>
      </c>
      <c r="O113" s="89" t="str">
        <f aca="false">IFERROR(__xludf.dummyfunction("REGEXEXTRACT(ADDRESS(ROW(), 38+$H113), ""[A-Z]+"")"),"AL")</f>
        <v>AL</v>
      </c>
      <c r="P113" s="89" t="str">
        <f aca="false">IFERROR(__xludf.dummyfunction("REGEXEXTRACT(ADDRESS(ROW(), 39+$H113), ""[A-Z]+"")"),"AM")</f>
        <v>AM</v>
      </c>
      <c r="Q113" s="89" t="str">
        <f aca="false">IFERROR(__xludf.dummyfunction("REGEXEXTRACT(ADDRESS(ROW(), 40+$H113), ""[A-Z]+"")"),"AN")</f>
        <v>AN</v>
      </c>
      <c r="R113" s="89" t="str">
        <f aca="false">IFERROR(__xludf.dummyfunction("IFERROR(QUERY(INDIRECT(""'""&amp;$F113&amp;""'!C3:""&amp;Q113&amp;""""), ""SELECT ""&amp;I113&amp;"", ""&amp;J113&amp;"", ""&amp;K113&amp;"", ""&amp;L113&amp;"", ""&amp;M113&amp;"", ""&amp;N113&amp;"", ""&amp;O113&amp;"", ""&amp;P113&amp;"" WHERE '""&amp;B113&amp;""' CONTAINS D"", 0), """")"),"")</f>
        <v/>
      </c>
      <c r="S113" s="89"/>
      <c r="T113" s="89"/>
      <c r="U113" s="89"/>
      <c r="V113" s="89" t="n">
        <f aca="false">IFERROR(__xludf.dummyfunction("""COMPUTED_VALUE"""),0)</f>
        <v>0</v>
      </c>
      <c r="W113" s="89"/>
      <c r="X113" s="89"/>
      <c r="Y113" s="89" t="n">
        <f aca="false">IFERROR(__xludf.dummyfunction("""COMPUTED_VALUE"""),0)</f>
        <v>0</v>
      </c>
    </row>
    <row r="114" customFormat="false" ht="17.9" hidden="false" customHeight="false" outlineLevel="0" collapsed="false">
      <c r="A114" s="85" t="n">
        <v>113</v>
      </c>
      <c r="B114" s="85" t="n">
        <v>343054</v>
      </c>
      <c r="C114" s="86" t="s">
        <v>213</v>
      </c>
      <c r="D114" s="87" t="s">
        <v>157</v>
      </c>
      <c r="E114" s="88" t="str">
        <f aca="false">D114</f>
        <v>P3123</v>
      </c>
      <c r="F114" s="88" t="str">
        <f aca="false">REPLACE(E114, 1, 3, "")</f>
        <v>23</v>
      </c>
      <c r="G114" s="89" t="str">
        <f aca="true">IFERROR(VLOOKUP(B114,INDIRECT("'"&amp;$F114&amp;"'!D3:D"),1,FALSE()), "Not found")</f>
        <v>Not found</v>
      </c>
      <c r="H114" s="89" t="n">
        <f aca="true">INDIRECT("'"&amp;$F114&amp;"'!D1")</f>
        <v>1</v>
      </c>
      <c r="I114" s="89" t="str">
        <f aca="false">IFERROR(__xludf.dummyfunction("REGEXEXTRACT(ADDRESS(ROW(), 19+$H114), ""[A-Z]+"")"),"T")</f>
        <v>T</v>
      </c>
      <c r="J114" s="89" t="str">
        <f aca="false">IFERROR(__xludf.dummyfunction("REGEXEXTRACT(ADDRESS(ROW(), 25+$H114), ""[A-Z]+"")"),"Z")</f>
        <v>Z</v>
      </c>
      <c r="K114" s="89" t="str">
        <f aca="false">IFERROR(__xludf.dummyfunction("REGEXEXTRACT(ADDRESS(ROW(), 27+$H114), ""[A-Z]+"")"),"AB")</f>
        <v>AB</v>
      </c>
      <c r="L114" s="89" t="str">
        <f aca="false">IFERROR(__xludf.dummyfunction("REGEXEXTRACT(ADDRESS(ROW(), 28+$H114), ""[A-Z]+"")"),"AC")</f>
        <v>AC</v>
      </c>
      <c r="M114" s="89" t="str">
        <f aca="false">IFERROR(__xludf.dummyfunction("REGEXEXTRACT(ADDRESS(ROW(), 34+$H114), ""[A-Z]+"")"),"AI")</f>
        <v>AI</v>
      </c>
      <c r="N114" s="89" t="str">
        <f aca="false">IFERROR(__xludf.dummyfunction("REGEXEXTRACT(ADDRESS(ROW(), 37+$H114), ""[A-Z]+"")"),"AL")</f>
        <v>AL</v>
      </c>
      <c r="O114" s="89" t="str">
        <f aca="false">IFERROR(__xludf.dummyfunction("REGEXEXTRACT(ADDRESS(ROW(), 38+$H114), ""[A-Z]+"")"),"AM")</f>
        <v>AM</v>
      </c>
      <c r="P114" s="89" t="str">
        <f aca="false">IFERROR(__xludf.dummyfunction("REGEXEXTRACT(ADDRESS(ROW(), 39+$H114), ""[A-Z]+"")"),"AN")</f>
        <v>AN</v>
      </c>
      <c r="Q114" s="89" t="str">
        <f aca="false">IFERROR(__xludf.dummyfunction("REGEXEXTRACT(ADDRESS(ROW(), 40+$H114), ""[A-Z]+"")"),"AO")</f>
        <v>AO</v>
      </c>
      <c r="R114" s="89" t="n">
        <f aca="false">IFERROR(__xludf.dummyfunction("IFERROR(QUERY(INDIRECT(""'""&amp;$F114&amp;""'!C3:""&amp;Q114&amp;""""), ""SELECT ""&amp;I114&amp;"", ""&amp;J114&amp;"", ""&amp;K114&amp;"", ""&amp;L114&amp;"", ""&amp;M114&amp;"", ""&amp;N114&amp;"", ""&amp;O114&amp;"", ""&amp;P114&amp;"" WHERE '""&amp;B114&amp;""' CONTAINS D"", 0), """")"),0.01)</f>
        <v>0.01</v>
      </c>
      <c r="S114" s="89"/>
      <c r="T114" s="89"/>
      <c r="U114" s="89"/>
      <c r="V114" s="89" t="n">
        <f aca="false">IFERROR(__xludf.dummyfunction("""COMPUTED_VALUE"""),0)</f>
        <v>0</v>
      </c>
      <c r="W114" s="89"/>
      <c r="X114" s="89"/>
      <c r="Y114" s="89" t="n">
        <f aca="false">IFERROR(__xludf.dummyfunction("""COMPUTED_VALUE"""),0.01)</f>
        <v>0.01</v>
      </c>
    </row>
    <row r="115" customFormat="false" ht="17.9" hidden="false" customHeight="false" outlineLevel="0" collapsed="false">
      <c r="A115" s="85" t="n">
        <v>114</v>
      </c>
      <c r="B115" s="85" t="n">
        <v>466072</v>
      </c>
      <c r="C115" s="86" t="s">
        <v>214</v>
      </c>
      <c r="D115" s="87" t="s">
        <v>87</v>
      </c>
      <c r="E115" s="88" t="str">
        <f aca="false">D115</f>
        <v>P3130</v>
      </c>
      <c r="F115" s="88" t="str">
        <f aca="false">REPLACE(E115, 1, 3, "")</f>
        <v>30</v>
      </c>
      <c r="G115" s="89" t="str">
        <f aca="true">IFERROR(VLOOKUP(B115,INDIRECT("'"&amp;$F115&amp;"'!D3:D"),1,FALSE()), "Not found")</f>
        <v>Not found</v>
      </c>
      <c r="H115" s="89" t="n">
        <f aca="true">INDIRECT("'"&amp;$F115&amp;"'!D1")</f>
        <v>0</v>
      </c>
      <c r="I115" s="89" t="str">
        <f aca="false">IFERROR(__xludf.dummyfunction("REGEXEXTRACT(ADDRESS(ROW(), 19+$H115), ""[A-Z]+"")"),"S")</f>
        <v>S</v>
      </c>
      <c r="J115" s="89" t="str">
        <f aca="false">IFERROR(__xludf.dummyfunction("REGEXEXTRACT(ADDRESS(ROW(), 25+$H115), ""[A-Z]+"")"),"Y")</f>
        <v>Y</v>
      </c>
      <c r="K115" s="89" t="str">
        <f aca="false">IFERROR(__xludf.dummyfunction("REGEXEXTRACT(ADDRESS(ROW(), 27+$H115), ""[A-Z]+"")"),"AA")</f>
        <v>AA</v>
      </c>
      <c r="L115" s="89" t="str">
        <f aca="false">IFERROR(__xludf.dummyfunction("REGEXEXTRACT(ADDRESS(ROW(), 28+$H115), ""[A-Z]+"")"),"AB")</f>
        <v>AB</v>
      </c>
      <c r="M115" s="89" t="str">
        <f aca="false">IFERROR(__xludf.dummyfunction("REGEXEXTRACT(ADDRESS(ROW(), 34+$H115), ""[A-Z]+"")"),"AH")</f>
        <v>AH</v>
      </c>
      <c r="N115" s="89" t="str">
        <f aca="false">IFERROR(__xludf.dummyfunction("REGEXEXTRACT(ADDRESS(ROW(), 37+$H115), ""[A-Z]+"")"),"AK")</f>
        <v>AK</v>
      </c>
      <c r="O115" s="89" t="str">
        <f aca="false">IFERROR(__xludf.dummyfunction("REGEXEXTRACT(ADDRESS(ROW(), 38+$H115), ""[A-Z]+"")"),"AL")</f>
        <v>AL</v>
      </c>
      <c r="P115" s="89" t="str">
        <f aca="false">IFERROR(__xludf.dummyfunction("REGEXEXTRACT(ADDRESS(ROW(), 39+$H115), ""[A-Z]+"")"),"AM")</f>
        <v>AM</v>
      </c>
      <c r="Q115" s="89" t="str">
        <f aca="false">IFERROR(__xludf.dummyfunction("REGEXEXTRACT(ADDRESS(ROW(), 40+$H115), ""[A-Z]+"")"),"AN")</f>
        <v>AN</v>
      </c>
      <c r="R115" s="89" t="n">
        <f aca="false">IFERROR(__xludf.dummyfunction("IFERROR(QUERY(INDIRECT(""'""&amp;$F115&amp;""'!C3:""&amp;Q115&amp;""""), ""SELECT ""&amp;I115&amp;"", ""&amp;J115&amp;"", ""&amp;K115&amp;"", ""&amp;L115&amp;"", ""&amp;M115&amp;"", ""&amp;N115&amp;"", ""&amp;O115&amp;"", ""&amp;P115&amp;"" WHERE '""&amp;B115&amp;""' CONTAINS D"", 0), """")"),18)</f>
        <v>18</v>
      </c>
      <c r="S115" s="89" t="n">
        <f aca="false">IFERROR(__xludf.dummyfunction("""COMPUTED_VALUE"""),17)</f>
        <v>17</v>
      </c>
      <c r="T115" s="89"/>
      <c r="U115" s="89"/>
      <c r="V115" s="89" t="n">
        <f aca="false">IFERROR(__xludf.dummyfunction("""COMPUTED_VALUE"""),8)</f>
        <v>8</v>
      </c>
      <c r="W115" s="89"/>
      <c r="X115" s="89" t="n">
        <f aca="false">IFERROR(__xludf.dummyfunction("""COMPUTED_VALUE"""),40)</f>
        <v>40</v>
      </c>
      <c r="Y115" s="89" t="n">
        <f aca="false">IFERROR(__xludf.dummyfunction("""COMPUTED_VALUE"""),83)</f>
        <v>83</v>
      </c>
    </row>
    <row r="116" customFormat="false" ht="17.9" hidden="false" customHeight="false" outlineLevel="0" collapsed="false">
      <c r="A116" s="85" t="n">
        <v>115</v>
      </c>
      <c r="B116" s="85" t="n">
        <v>466080</v>
      </c>
      <c r="C116" s="86" t="s">
        <v>215</v>
      </c>
      <c r="D116" s="87" t="s">
        <v>121</v>
      </c>
      <c r="E116" s="88" t="str">
        <f aca="false">D116</f>
        <v>P3120</v>
      </c>
      <c r="F116" s="88" t="str">
        <f aca="false">REPLACE(E116, 1, 3, "")</f>
        <v>20</v>
      </c>
      <c r="G116" s="89" t="str">
        <f aca="true">IFERROR(VLOOKUP(B116,INDIRECT("'"&amp;$F116&amp;"'!D3:D"),1,FALSE()), "Not found")</f>
        <v>Not found</v>
      </c>
      <c r="H116" s="89" t="n">
        <f aca="true">INDIRECT("'"&amp;$F116&amp;"'!D1")</f>
        <v>5</v>
      </c>
      <c r="I116" s="89" t="str">
        <f aca="false">IFERROR(__xludf.dummyfunction("REGEXEXTRACT(ADDRESS(ROW(), 19+$H116), ""[A-Z]+"")"),"X")</f>
        <v>X</v>
      </c>
      <c r="J116" s="89" t="str">
        <f aca="false">IFERROR(__xludf.dummyfunction("REGEXEXTRACT(ADDRESS(ROW(), 25+$H116), ""[A-Z]+"")"),"AD")</f>
        <v>AD</v>
      </c>
      <c r="K116" s="89" t="str">
        <f aca="false">IFERROR(__xludf.dummyfunction("REGEXEXTRACT(ADDRESS(ROW(), 27+$H116), ""[A-Z]+"")"),"AF")</f>
        <v>AF</v>
      </c>
      <c r="L116" s="89" t="str">
        <f aca="false">IFERROR(__xludf.dummyfunction("REGEXEXTRACT(ADDRESS(ROW(), 28+$H116), ""[A-Z]+"")"),"AG")</f>
        <v>AG</v>
      </c>
      <c r="M116" s="89" t="str">
        <f aca="false">IFERROR(__xludf.dummyfunction("REGEXEXTRACT(ADDRESS(ROW(), 34+$H116), ""[A-Z]+"")"),"AM")</f>
        <v>AM</v>
      </c>
      <c r="N116" s="89" t="str">
        <f aca="false">IFERROR(__xludf.dummyfunction("REGEXEXTRACT(ADDRESS(ROW(), 37+$H116), ""[A-Z]+"")"),"AP")</f>
        <v>AP</v>
      </c>
      <c r="O116" s="89" t="str">
        <f aca="false">IFERROR(__xludf.dummyfunction("REGEXEXTRACT(ADDRESS(ROW(), 38+$H116), ""[A-Z]+"")"),"AQ")</f>
        <v>AQ</v>
      </c>
      <c r="P116" s="89" t="str">
        <f aca="false">IFERROR(__xludf.dummyfunction("REGEXEXTRACT(ADDRESS(ROW(), 39+$H116), ""[A-Z]+"")"),"AR")</f>
        <v>AR</v>
      </c>
      <c r="Q116" s="89" t="str">
        <f aca="false">IFERROR(__xludf.dummyfunction("REGEXEXTRACT(ADDRESS(ROW(), 40+$H116), ""[A-Z]+"")"),"AS")</f>
        <v>AS</v>
      </c>
      <c r="R116" s="89" t="n">
        <f aca="false">IFERROR(__xludf.dummyfunction("IFERROR(QUERY(INDIRECT(""'""&amp;$F116&amp;""'!C3:""&amp;Q116&amp;""""), ""SELECT ""&amp;I116&amp;"", ""&amp;J116&amp;"", ""&amp;K116&amp;"", ""&amp;L116&amp;"", ""&amp;M116&amp;"", ""&amp;N116&amp;"", ""&amp;O116&amp;"", ""&amp;P116&amp;"" WHERE '""&amp;B116&amp;""' CONTAINS D"", 0), """")"),17)</f>
        <v>17</v>
      </c>
      <c r="S116" s="89" t="n">
        <f aca="false">IFERROR(__xludf.dummyfunction("""COMPUTED_VALUE"""),18)</f>
        <v>18</v>
      </c>
      <c r="T116" s="89"/>
      <c r="U116" s="89"/>
      <c r="V116" s="89" t="n">
        <f aca="false">IFERROR(__xludf.dummyfunction("""COMPUTED_VALUE"""),8)</f>
        <v>8</v>
      </c>
      <c r="W116" s="89"/>
      <c r="X116" s="89" t="n">
        <f aca="false">IFERROR(__xludf.dummyfunction("""COMPUTED_VALUE"""),32)</f>
        <v>32</v>
      </c>
      <c r="Y116" s="89" t="n">
        <f aca="false">IFERROR(__xludf.dummyfunction("""COMPUTED_VALUE"""),75)</f>
        <v>75</v>
      </c>
    </row>
    <row r="117" customFormat="false" ht="17.9" hidden="false" customHeight="false" outlineLevel="0" collapsed="false">
      <c r="A117" s="85" t="n">
        <v>116</v>
      </c>
      <c r="B117" s="85" t="n">
        <v>466082</v>
      </c>
      <c r="C117" s="86" t="s">
        <v>216</v>
      </c>
      <c r="D117" s="87" t="s">
        <v>146</v>
      </c>
      <c r="E117" s="88" t="str">
        <f aca="false">D117</f>
        <v>P3113</v>
      </c>
      <c r="F117" s="88" t="str">
        <f aca="false">REPLACE(E117, 1, 3, "")</f>
        <v>13</v>
      </c>
      <c r="G117" s="89" t="str">
        <f aca="true">IFERROR(VLOOKUP(B117,INDIRECT("'"&amp;$F117&amp;"'!D3:D"),1,FALSE()), "Not found")</f>
        <v>Not found</v>
      </c>
      <c r="H117" s="89" t="n">
        <f aca="true">INDIRECT("'"&amp;$F117&amp;"'!D1")</f>
        <v>0</v>
      </c>
      <c r="I117" s="89" t="str">
        <f aca="false">IFERROR(__xludf.dummyfunction("REGEXEXTRACT(ADDRESS(ROW(), 19+$H117), ""[A-Z]+"")"),"S")</f>
        <v>S</v>
      </c>
      <c r="J117" s="89" t="str">
        <f aca="false">IFERROR(__xludf.dummyfunction("REGEXEXTRACT(ADDRESS(ROW(), 25+$H117), ""[A-Z]+"")"),"Y")</f>
        <v>Y</v>
      </c>
      <c r="K117" s="89" t="str">
        <f aca="false">IFERROR(__xludf.dummyfunction("REGEXEXTRACT(ADDRESS(ROW(), 27+$H117), ""[A-Z]+"")"),"AA")</f>
        <v>AA</v>
      </c>
      <c r="L117" s="89" t="str">
        <f aca="false">IFERROR(__xludf.dummyfunction("REGEXEXTRACT(ADDRESS(ROW(), 28+$H117), ""[A-Z]+"")"),"AB")</f>
        <v>AB</v>
      </c>
      <c r="M117" s="89" t="str">
        <f aca="false">IFERROR(__xludf.dummyfunction("REGEXEXTRACT(ADDRESS(ROW(), 34+$H117), ""[A-Z]+"")"),"AH")</f>
        <v>AH</v>
      </c>
      <c r="N117" s="89" t="str">
        <f aca="false">IFERROR(__xludf.dummyfunction("REGEXEXTRACT(ADDRESS(ROW(), 37+$H117), ""[A-Z]+"")"),"AK")</f>
        <v>AK</v>
      </c>
      <c r="O117" s="89" t="str">
        <f aca="false">IFERROR(__xludf.dummyfunction("REGEXEXTRACT(ADDRESS(ROW(), 38+$H117), ""[A-Z]+"")"),"AL")</f>
        <v>AL</v>
      </c>
      <c r="P117" s="89" t="str">
        <f aca="false">IFERROR(__xludf.dummyfunction("REGEXEXTRACT(ADDRESS(ROW(), 39+$H117), ""[A-Z]+"")"),"AM")</f>
        <v>AM</v>
      </c>
      <c r="Q117" s="89" t="str">
        <f aca="false">IFERROR(__xludf.dummyfunction("REGEXEXTRACT(ADDRESS(ROW(), 40+$H117), ""[A-Z]+"")"),"AN")</f>
        <v>AN</v>
      </c>
      <c r="R117" s="89" t="n">
        <f aca="false">IFERROR(__xludf.dummyfunction("IFERROR(QUERY(INDIRECT(""'""&amp;$F117&amp;""'!C3:""&amp;Q117&amp;""""), ""SELECT ""&amp;I117&amp;"", ""&amp;J117&amp;"", ""&amp;K117&amp;"", ""&amp;L117&amp;"", ""&amp;M117&amp;"", ""&amp;N117&amp;"", ""&amp;O117&amp;"", ""&amp;P117&amp;"" WHERE '""&amp;B117&amp;""' CONTAINS D"", 0), """")"),17)</f>
        <v>17</v>
      </c>
      <c r="S117" s="89" t="n">
        <f aca="false">IFERROR(__xludf.dummyfunction("""COMPUTED_VALUE"""),18)</f>
        <v>18</v>
      </c>
      <c r="T117" s="89"/>
      <c r="U117" s="89"/>
      <c r="V117" s="89" t="n">
        <f aca="false">IFERROR(__xludf.dummyfunction("""COMPUTED_VALUE"""),6)</f>
        <v>6</v>
      </c>
      <c r="W117" s="89" t="n">
        <f aca="false">IFERROR(__xludf.dummyfunction("""COMPUTED_VALUE"""),3)</f>
        <v>3</v>
      </c>
      <c r="X117" s="89" t="n">
        <f aca="false">IFERROR(__xludf.dummyfunction("""COMPUTED_VALUE"""),24)</f>
        <v>24</v>
      </c>
      <c r="Y117" s="89" t="n">
        <f aca="false">IFERROR(__xludf.dummyfunction("""COMPUTED_VALUE"""),68)</f>
        <v>68</v>
      </c>
    </row>
    <row r="118" customFormat="false" ht="17.9" hidden="false" customHeight="false" outlineLevel="0" collapsed="false">
      <c r="A118" s="85" t="n">
        <v>117</v>
      </c>
      <c r="B118" s="85" t="n">
        <v>466084</v>
      </c>
      <c r="C118" s="86" t="s">
        <v>217</v>
      </c>
      <c r="D118" s="87" t="s">
        <v>83</v>
      </c>
      <c r="E118" s="88" t="str">
        <f aca="false">D118</f>
        <v>P3109</v>
      </c>
      <c r="F118" s="88" t="str">
        <f aca="false">REPLACE(E118, 1, 3, "")</f>
        <v>09</v>
      </c>
      <c r="G118" s="89" t="str">
        <f aca="true">IFERROR(VLOOKUP(B118,INDIRECT("'"&amp;$F118&amp;"'!D3:D"),1,FALSE()), "Not found")</f>
        <v>Not found</v>
      </c>
      <c r="H118" s="89" t="n">
        <f aca="true">INDIRECT("'"&amp;$F118&amp;"'!D1")</f>
        <v>0</v>
      </c>
      <c r="I118" s="89" t="str">
        <f aca="false">IFERROR(__xludf.dummyfunction("REGEXEXTRACT(ADDRESS(ROW(), 19+$H118), ""[A-Z]+"")"),"S")</f>
        <v>S</v>
      </c>
      <c r="J118" s="89" t="str">
        <f aca="false">IFERROR(__xludf.dummyfunction("REGEXEXTRACT(ADDRESS(ROW(), 25+$H118), ""[A-Z]+"")"),"Y")</f>
        <v>Y</v>
      </c>
      <c r="K118" s="89" t="str">
        <f aca="false">IFERROR(__xludf.dummyfunction("REGEXEXTRACT(ADDRESS(ROW(), 27+$H118), ""[A-Z]+"")"),"AA")</f>
        <v>AA</v>
      </c>
      <c r="L118" s="89" t="str">
        <f aca="false">IFERROR(__xludf.dummyfunction("REGEXEXTRACT(ADDRESS(ROW(), 28+$H118), ""[A-Z]+"")"),"AB")</f>
        <v>AB</v>
      </c>
      <c r="M118" s="89" t="str">
        <f aca="false">IFERROR(__xludf.dummyfunction("REGEXEXTRACT(ADDRESS(ROW(), 34+$H118), ""[A-Z]+"")"),"AH")</f>
        <v>AH</v>
      </c>
      <c r="N118" s="89" t="str">
        <f aca="false">IFERROR(__xludf.dummyfunction("REGEXEXTRACT(ADDRESS(ROW(), 37+$H118), ""[A-Z]+"")"),"AK")</f>
        <v>AK</v>
      </c>
      <c r="O118" s="89" t="str">
        <f aca="false">IFERROR(__xludf.dummyfunction("REGEXEXTRACT(ADDRESS(ROW(), 38+$H118), ""[A-Z]+"")"),"AL")</f>
        <v>AL</v>
      </c>
      <c r="P118" s="89" t="str">
        <f aca="false">IFERROR(__xludf.dummyfunction("REGEXEXTRACT(ADDRESS(ROW(), 39+$H118), ""[A-Z]+"")"),"AM")</f>
        <v>AM</v>
      </c>
      <c r="Q118" s="89" t="str">
        <f aca="false">IFERROR(__xludf.dummyfunction("REGEXEXTRACT(ADDRESS(ROW(), 40+$H118), ""[A-Z]+"")"),"AN")</f>
        <v>AN</v>
      </c>
      <c r="R118" s="89" t="n">
        <f aca="false">IFERROR(__xludf.dummyfunction("IFERROR(QUERY(INDIRECT(""'""&amp;$F118&amp;""'!C3:""&amp;Q118&amp;""""), ""SELECT ""&amp;I118&amp;"", ""&amp;J118&amp;"", ""&amp;K118&amp;"", ""&amp;L118&amp;"", ""&amp;M118&amp;"", ""&amp;N118&amp;"", ""&amp;O118&amp;"", ""&amp;P118&amp;"" WHERE '""&amp;B118&amp;""' CONTAINS D"", 0), """")"),14)</f>
        <v>14</v>
      </c>
      <c r="S118" s="89" t="n">
        <f aca="false">IFERROR(__xludf.dummyfunction("""COMPUTED_VALUE"""),15.5)</f>
        <v>15.5</v>
      </c>
      <c r="T118" s="89"/>
      <c r="U118" s="89"/>
      <c r="V118" s="89" t="n">
        <f aca="false">IFERROR(__xludf.dummyfunction("""COMPUTED_VALUE"""),6.02)</f>
        <v>6.02</v>
      </c>
      <c r="W118" s="89"/>
      <c r="X118" s="89" t="n">
        <f aca="false">IFERROR(__xludf.dummyfunction("""COMPUTED_VALUE"""),28)</f>
        <v>28</v>
      </c>
      <c r="Y118" s="89" t="n">
        <f aca="false">IFERROR(__xludf.dummyfunction("""COMPUTED_VALUE"""),63.52)</f>
        <v>63.52</v>
      </c>
    </row>
    <row r="119" customFormat="false" ht="17.9" hidden="false" customHeight="false" outlineLevel="0" collapsed="false">
      <c r="A119" s="85" t="n">
        <v>118</v>
      </c>
      <c r="B119" s="85" t="n">
        <v>466088</v>
      </c>
      <c r="C119" s="86" t="s">
        <v>218</v>
      </c>
      <c r="D119" s="87" t="s">
        <v>83</v>
      </c>
      <c r="E119" s="88" t="str">
        <f aca="false">D119</f>
        <v>P3109</v>
      </c>
      <c r="F119" s="88" t="str">
        <f aca="false">REPLACE(E119, 1, 3, "")</f>
        <v>09</v>
      </c>
      <c r="G119" s="89" t="str">
        <f aca="true">IFERROR(VLOOKUP(B119,INDIRECT("'"&amp;$F119&amp;"'!D3:D"),1,FALSE()), "Not found")</f>
        <v>Not found</v>
      </c>
      <c r="H119" s="89" t="n">
        <f aca="true">INDIRECT("'"&amp;$F119&amp;"'!D1")</f>
        <v>0</v>
      </c>
      <c r="I119" s="89" t="str">
        <f aca="false">IFERROR(__xludf.dummyfunction("REGEXEXTRACT(ADDRESS(ROW(), 19+$H119), ""[A-Z]+"")"),"S")</f>
        <v>S</v>
      </c>
      <c r="J119" s="89" t="str">
        <f aca="false">IFERROR(__xludf.dummyfunction("REGEXEXTRACT(ADDRESS(ROW(), 25+$H119), ""[A-Z]+"")"),"Y")</f>
        <v>Y</v>
      </c>
      <c r="K119" s="89" t="str">
        <f aca="false">IFERROR(__xludf.dummyfunction("REGEXEXTRACT(ADDRESS(ROW(), 27+$H119), ""[A-Z]+"")"),"AA")</f>
        <v>AA</v>
      </c>
      <c r="L119" s="89" t="str">
        <f aca="false">IFERROR(__xludf.dummyfunction("REGEXEXTRACT(ADDRESS(ROW(), 28+$H119), ""[A-Z]+"")"),"AB")</f>
        <v>AB</v>
      </c>
      <c r="M119" s="89" t="str">
        <f aca="false">IFERROR(__xludf.dummyfunction("REGEXEXTRACT(ADDRESS(ROW(), 34+$H119), ""[A-Z]+"")"),"AH")</f>
        <v>AH</v>
      </c>
      <c r="N119" s="89" t="str">
        <f aca="false">IFERROR(__xludf.dummyfunction("REGEXEXTRACT(ADDRESS(ROW(), 37+$H119), ""[A-Z]+"")"),"AK")</f>
        <v>AK</v>
      </c>
      <c r="O119" s="89" t="str">
        <f aca="false">IFERROR(__xludf.dummyfunction("REGEXEXTRACT(ADDRESS(ROW(), 38+$H119), ""[A-Z]+"")"),"AL")</f>
        <v>AL</v>
      </c>
      <c r="P119" s="89" t="str">
        <f aca="false">IFERROR(__xludf.dummyfunction("REGEXEXTRACT(ADDRESS(ROW(), 39+$H119), ""[A-Z]+"")"),"AM")</f>
        <v>AM</v>
      </c>
      <c r="Q119" s="89" t="str">
        <f aca="false">IFERROR(__xludf.dummyfunction("REGEXEXTRACT(ADDRESS(ROW(), 40+$H119), ""[A-Z]+"")"),"AN")</f>
        <v>AN</v>
      </c>
      <c r="R119" s="89" t="n">
        <f aca="false">IFERROR(__xludf.dummyfunction("IFERROR(QUERY(INDIRECT(""'""&amp;$F119&amp;""'!C3:""&amp;Q119&amp;""""), ""SELECT ""&amp;I119&amp;"", ""&amp;J119&amp;"", ""&amp;K119&amp;"", ""&amp;L119&amp;"", ""&amp;M119&amp;"", ""&amp;N119&amp;"", ""&amp;O119&amp;"", ""&amp;P119&amp;"" WHERE '""&amp;B119&amp;""' CONTAINS D"", 0), """")"),14.2)</f>
        <v>14.2</v>
      </c>
      <c r="S119" s="89" t="n">
        <f aca="false">IFERROR(__xludf.dummyfunction("""COMPUTED_VALUE"""),13)</f>
        <v>13</v>
      </c>
      <c r="T119" s="89"/>
      <c r="U119" s="89"/>
      <c r="V119" s="89" t="n">
        <f aca="false">IFERROR(__xludf.dummyfunction("""COMPUTED_VALUE"""),6)</f>
        <v>6</v>
      </c>
      <c r="W119" s="89"/>
      <c r="X119" s="89" t="n">
        <f aca="false">IFERROR(__xludf.dummyfunction("""COMPUTED_VALUE"""),27)</f>
        <v>27</v>
      </c>
      <c r="Y119" s="89" t="n">
        <f aca="false">IFERROR(__xludf.dummyfunction("""COMPUTED_VALUE"""),60.2)</f>
        <v>60.2</v>
      </c>
    </row>
    <row r="120" customFormat="false" ht="17.9" hidden="false" customHeight="false" outlineLevel="0" collapsed="false">
      <c r="A120" s="85" t="n">
        <v>119</v>
      </c>
      <c r="B120" s="85" t="n">
        <v>466103</v>
      </c>
      <c r="C120" s="86" t="s">
        <v>219</v>
      </c>
      <c r="D120" s="87" t="s">
        <v>121</v>
      </c>
      <c r="E120" s="88" t="str">
        <f aca="false">D120</f>
        <v>P3120</v>
      </c>
      <c r="F120" s="88" t="str">
        <f aca="false">REPLACE(E120, 1, 3, "")</f>
        <v>20</v>
      </c>
      <c r="G120" s="89" t="str">
        <f aca="true">IFERROR(VLOOKUP(B120,INDIRECT("'"&amp;$F120&amp;"'!D3:D"),1,FALSE()), "Not found")</f>
        <v>Not found</v>
      </c>
      <c r="H120" s="89" t="n">
        <f aca="true">INDIRECT("'"&amp;$F120&amp;"'!D1")</f>
        <v>5</v>
      </c>
      <c r="I120" s="89" t="str">
        <f aca="false">IFERROR(__xludf.dummyfunction("REGEXEXTRACT(ADDRESS(ROW(), 19+$H120), ""[A-Z]+"")"),"X")</f>
        <v>X</v>
      </c>
      <c r="J120" s="89" t="str">
        <f aca="false">IFERROR(__xludf.dummyfunction("REGEXEXTRACT(ADDRESS(ROW(), 25+$H120), ""[A-Z]+"")"),"AD")</f>
        <v>AD</v>
      </c>
      <c r="K120" s="89" t="str">
        <f aca="false">IFERROR(__xludf.dummyfunction("REGEXEXTRACT(ADDRESS(ROW(), 27+$H120), ""[A-Z]+"")"),"AF")</f>
        <v>AF</v>
      </c>
      <c r="L120" s="89" t="str">
        <f aca="false">IFERROR(__xludf.dummyfunction("REGEXEXTRACT(ADDRESS(ROW(), 28+$H120), ""[A-Z]+"")"),"AG")</f>
        <v>AG</v>
      </c>
      <c r="M120" s="89" t="str">
        <f aca="false">IFERROR(__xludf.dummyfunction("REGEXEXTRACT(ADDRESS(ROW(), 34+$H120), ""[A-Z]+"")"),"AM")</f>
        <v>AM</v>
      </c>
      <c r="N120" s="89" t="str">
        <f aca="false">IFERROR(__xludf.dummyfunction("REGEXEXTRACT(ADDRESS(ROW(), 37+$H120), ""[A-Z]+"")"),"AP")</f>
        <v>AP</v>
      </c>
      <c r="O120" s="89" t="str">
        <f aca="false">IFERROR(__xludf.dummyfunction("REGEXEXTRACT(ADDRESS(ROW(), 38+$H120), ""[A-Z]+"")"),"AQ")</f>
        <v>AQ</v>
      </c>
      <c r="P120" s="89" t="str">
        <f aca="false">IFERROR(__xludf.dummyfunction("REGEXEXTRACT(ADDRESS(ROW(), 39+$H120), ""[A-Z]+"")"),"AR")</f>
        <v>AR</v>
      </c>
      <c r="Q120" s="89" t="str">
        <f aca="false">IFERROR(__xludf.dummyfunction("REGEXEXTRACT(ADDRESS(ROW(), 40+$H120), ""[A-Z]+"")"),"AS")</f>
        <v>AS</v>
      </c>
      <c r="R120" s="89" t="n">
        <f aca="false">IFERROR(__xludf.dummyfunction("IFERROR(QUERY(INDIRECT(""'""&amp;$F120&amp;""'!C3:""&amp;Q120&amp;""""), ""SELECT ""&amp;I120&amp;"", ""&amp;J120&amp;"", ""&amp;K120&amp;"", ""&amp;L120&amp;"", ""&amp;M120&amp;"", ""&amp;N120&amp;"", ""&amp;O120&amp;"", ""&amp;P120&amp;"" WHERE '""&amp;B120&amp;""' CONTAINS D"", 0), """")"),18)</f>
        <v>18</v>
      </c>
      <c r="S120" s="89" t="n">
        <f aca="false">IFERROR(__xludf.dummyfunction("""COMPUTED_VALUE"""),20)</f>
        <v>20</v>
      </c>
      <c r="T120" s="89"/>
      <c r="U120" s="89"/>
      <c r="V120" s="89" t="n">
        <f aca="false">IFERROR(__xludf.dummyfunction("""COMPUTED_VALUE"""),10)</f>
        <v>10</v>
      </c>
      <c r="W120" s="89"/>
      <c r="X120" s="89" t="n">
        <f aca="false">IFERROR(__xludf.dummyfunction("""COMPUTED_VALUE"""),40)</f>
        <v>40</v>
      </c>
      <c r="Y120" s="89" t="n">
        <f aca="false">IFERROR(__xludf.dummyfunction("""COMPUTED_VALUE"""),88)</f>
        <v>88</v>
      </c>
    </row>
    <row r="121" customFormat="false" ht="17.9" hidden="false" customHeight="false" outlineLevel="0" collapsed="false">
      <c r="A121" s="85" t="n">
        <v>120</v>
      </c>
      <c r="B121" s="85" t="n">
        <v>466113</v>
      </c>
      <c r="C121" s="86" t="s">
        <v>220</v>
      </c>
      <c r="D121" s="87" t="s">
        <v>102</v>
      </c>
      <c r="E121" s="88" t="str">
        <f aca="false">D121</f>
        <v>P3110</v>
      </c>
      <c r="F121" s="88" t="str">
        <f aca="false">REPLACE(E121, 1, 3, "")</f>
        <v>10</v>
      </c>
      <c r="G121" s="89" t="str">
        <f aca="true">IFERROR(VLOOKUP(B121,INDIRECT("'"&amp;$F121&amp;"'!D3:D"),1,FALSE()), "Not found")</f>
        <v>Not found</v>
      </c>
      <c r="H121" s="89" t="n">
        <f aca="true">INDIRECT("'"&amp;$F121&amp;"'!D1")</f>
        <v>0</v>
      </c>
      <c r="I121" s="89" t="str">
        <f aca="false">IFERROR(__xludf.dummyfunction("REGEXEXTRACT(ADDRESS(ROW(), 19+$H121), ""[A-Z]+"")"),"S")</f>
        <v>S</v>
      </c>
      <c r="J121" s="89" t="str">
        <f aca="false">IFERROR(__xludf.dummyfunction("REGEXEXTRACT(ADDRESS(ROW(), 25+$H121), ""[A-Z]+"")"),"Y")</f>
        <v>Y</v>
      </c>
      <c r="K121" s="89" t="str">
        <f aca="false">IFERROR(__xludf.dummyfunction("REGEXEXTRACT(ADDRESS(ROW(), 27+$H121), ""[A-Z]+"")"),"AA")</f>
        <v>AA</v>
      </c>
      <c r="L121" s="89" t="str">
        <f aca="false">IFERROR(__xludf.dummyfunction("REGEXEXTRACT(ADDRESS(ROW(), 28+$H121), ""[A-Z]+"")"),"AB")</f>
        <v>AB</v>
      </c>
      <c r="M121" s="89" t="str">
        <f aca="false">IFERROR(__xludf.dummyfunction("REGEXEXTRACT(ADDRESS(ROW(), 34+$H121), ""[A-Z]+"")"),"AH")</f>
        <v>AH</v>
      </c>
      <c r="N121" s="89" t="str">
        <f aca="false">IFERROR(__xludf.dummyfunction("REGEXEXTRACT(ADDRESS(ROW(), 37+$H121), ""[A-Z]+"")"),"AK")</f>
        <v>AK</v>
      </c>
      <c r="O121" s="89" t="str">
        <f aca="false">IFERROR(__xludf.dummyfunction("REGEXEXTRACT(ADDRESS(ROW(), 38+$H121), ""[A-Z]+"")"),"AL")</f>
        <v>AL</v>
      </c>
      <c r="P121" s="89" t="str">
        <f aca="false">IFERROR(__xludf.dummyfunction("REGEXEXTRACT(ADDRESS(ROW(), 39+$H121), ""[A-Z]+"")"),"AM")</f>
        <v>AM</v>
      </c>
      <c r="Q121" s="89" t="str">
        <f aca="false">IFERROR(__xludf.dummyfunction("REGEXEXTRACT(ADDRESS(ROW(), 40+$H121), ""[A-Z]+"")"),"AN")</f>
        <v>AN</v>
      </c>
      <c r="R121" s="89" t="n">
        <f aca="false">IFERROR(__xludf.dummyfunction("IFERROR(QUERY(INDIRECT(""'""&amp;$F121&amp;""'!C3:""&amp;Q121&amp;""""), ""SELECT ""&amp;I121&amp;"", ""&amp;J121&amp;"", ""&amp;K121&amp;"", ""&amp;L121&amp;"", ""&amp;M121&amp;"", ""&amp;N121&amp;"", ""&amp;O121&amp;"", ""&amp;P121&amp;"" WHERE '""&amp;B121&amp;""' CONTAINS D"", 0), """")"),20)</f>
        <v>20</v>
      </c>
      <c r="S121" s="89" t="n">
        <f aca="false">IFERROR(__xludf.dummyfunction("""COMPUTED_VALUE"""),17)</f>
        <v>17</v>
      </c>
      <c r="T121" s="89"/>
      <c r="U121" s="89"/>
      <c r="V121" s="89" t="n">
        <f aca="false">IFERROR(__xludf.dummyfunction("""COMPUTED_VALUE"""),10)</f>
        <v>10</v>
      </c>
      <c r="W121" s="89"/>
      <c r="X121" s="89" t="n">
        <f aca="false">IFERROR(__xludf.dummyfunction("""COMPUTED_VALUE"""),40)</f>
        <v>40</v>
      </c>
      <c r="Y121" s="89" t="n">
        <f aca="false">IFERROR(__xludf.dummyfunction("""COMPUTED_VALUE"""),87)</f>
        <v>87</v>
      </c>
    </row>
    <row r="122" customFormat="false" ht="17.9" hidden="false" customHeight="false" outlineLevel="0" collapsed="false">
      <c r="A122" s="85" t="n">
        <v>121</v>
      </c>
      <c r="B122" s="85" t="n">
        <v>466114</v>
      </c>
      <c r="C122" s="86" t="s">
        <v>221</v>
      </c>
      <c r="D122" s="87" t="s">
        <v>100</v>
      </c>
      <c r="E122" s="88" t="str">
        <f aca="false">D122</f>
        <v>P3112</v>
      </c>
      <c r="F122" s="88" t="str">
        <f aca="false">REPLACE(E122, 1, 3, "")</f>
        <v>12</v>
      </c>
      <c r="G122" s="89" t="str">
        <f aca="true">IFERROR(VLOOKUP(B122,INDIRECT("'"&amp;$F122&amp;"'!D3:D"),1,FALSE()), "Not found")</f>
        <v>Not found</v>
      </c>
      <c r="H122" s="89" t="n">
        <f aca="true">INDIRECT("'"&amp;$F122&amp;"'!D1")</f>
        <v>0</v>
      </c>
      <c r="I122" s="89" t="str">
        <f aca="false">IFERROR(__xludf.dummyfunction("REGEXEXTRACT(ADDRESS(ROW(), 19+$H122), ""[A-Z]+"")"),"S")</f>
        <v>S</v>
      </c>
      <c r="J122" s="89" t="str">
        <f aca="false">IFERROR(__xludf.dummyfunction("REGEXEXTRACT(ADDRESS(ROW(), 25+$H122), ""[A-Z]+"")"),"Y")</f>
        <v>Y</v>
      </c>
      <c r="K122" s="89" t="str">
        <f aca="false">IFERROR(__xludf.dummyfunction("REGEXEXTRACT(ADDRESS(ROW(), 27+$H122), ""[A-Z]+"")"),"AA")</f>
        <v>AA</v>
      </c>
      <c r="L122" s="89" t="str">
        <f aca="false">IFERROR(__xludf.dummyfunction("REGEXEXTRACT(ADDRESS(ROW(), 28+$H122), ""[A-Z]+"")"),"AB")</f>
        <v>AB</v>
      </c>
      <c r="M122" s="89" t="str">
        <f aca="false">IFERROR(__xludf.dummyfunction("REGEXEXTRACT(ADDRESS(ROW(), 34+$H122), ""[A-Z]+"")"),"AH")</f>
        <v>AH</v>
      </c>
      <c r="N122" s="89" t="str">
        <f aca="false">IFERROR(__xludf.dummyfunction("REGEXEXTRACT(ADDRESS(ROW(), 37+$H122), ""[A-Z]+"")"),"AK")</f>
        <v>AK</v>
      </c>
      <c r="O122" s="89" t="str">
        <f aca="false">IFERROR(__xludf.dummyfunction("REGEXEXTRACT(ADDRESS(ROW(), 38+$H122), ""[A-Z]+"")"),"AL")</f>
        <v>AL</v>
      </c>
      <c r="P122" s="89" t="str">
        <f aca="false">IFERROR(__xludf.dummyfunction("REGEXEXTRACT(ADDRESS(ROW(), 39+$H122), ""[A-Z]+"")"),"AM")</f>
        <v>AM</v>
      </c>
      <c r="Q122" s="89" t="str">
        <f aca="false">IFERROR(__xludf.dummyfunction("REGEXEXTRACT(ADDRESS(ROW(), 40+$H122), ""[A-Z]+"")"),"AN")</f>
        <v>AN</v>
      </c>
      <c r="R122" s="89" t="n">
        <f aca="false">IFERROR(__xludf.dummyfunction("IFERROR(QUERY(INDIRECT(""'""&amp;$F122&amp;""'!C3:""&amp;Q122&amp;""""), ""SELECT ""&amp;I122&amp;"", ""&amp;J122&amp;"", ""&amp;K122&amp;"", ""&amp;L122&amp;"", ""&amp;M122&amp;"", ""&amp;N122&amp;"", ""&amp;O122&amp;"", ""&amp;P122&amp;"" WHERE '""&amp;B122&amp;""' CONTAINS D"", 0), """")"),17)</f>
        <v>17</v>
      </c>
      <c r="S122" s="89" t="n">
        <f aca="false">IFERROR(__xludf.dummyfunction("""COMPUTED_VALUE"""),18)</f>
        <v>18</v>
      </c>
      <c r="T122" s="89"/>
      <c r="U122" s="89"/>
      <c r="V122" s="89" t="n">
        <f aca="false">IFERROR(__xludf.dummyfunction("""COMPUTED_VALUE"""),6)</f>
        <v>6</v>
      </c>
      <c r="W122" s="89"/>
      <c r="X122" s="89" t="n">
        <f aca="false">IFERROR(__xludf.dummyfunction("""COMPUTED_VALUE"""),40)</f>
        <v>40</v>
      </c>
      <c r="Y122" s="89" t="n">
        <f aca="false">IFERROR(__xludf.dummyfunction("""COMPUTED_VALUE"""),81)</f>
        <v>81</v>
      </c>
    </row>
    <row r="123" customFormat="false" ht="17.9" hidden="false" customHeight="false" outlineLevel="0" collapsed="false">
      <c r="A123" s="85" t="n">
        <v>122</v>
      </c>
      <c r="B123" s="85" t="n">
        <v>466127</v>
      </c>
      <c r="C123" s="86" t="s">
        <v>222</v>
      </c>
      <c r="D123" s="87" t="s">
        <v>91</v>
      </c>
      <c r="E123" s="88" t="str">
        <f aca="false">D123</f>
        <v>P3111</v>
      </c>
      <c r="F123" s="88" t="str">
        <f aca="false">REPLACE(E123, 1, 3, "")</f>
        <v>11</v>
      </c>
      <c r="G123" s="89" t="str">
        <f aca="true">IFERROR(VLOOKUP(B123,INDIRECT("'"&amp;$F123&amp;"'!D3:D"),1,FALSE()), "Not found")</f>
        <v>Not found</v>
      </c>
      <c r="H123" s="89" t="n">
        <f aca="true">INDIRECT("'"&amp;$F123&amp;"'!D1")</f>
        <v>0</v>
      </c>
      <c r="I123" s="89" t="str">
        <f aca="false">IFERROR(__xludf.dummyfunction("REGEXEXTRACT(ADDRESS(ROW(), 19+$H123), ""[A-Z]+"")"),"S")</f>
        <v>S</v>
      </c>
      <c r="J123" s="89" t="str">
        <f aca="false">IFERROR(__xludf.dummyfunction("REGEXEXTRACT(ADDRESS(ROW(), 25+$H123), ""[A-Z]+"")"),"Y")</f>
        <v>Y</v>
      </c>
      <c r="K123" s="89" t="str">
        <f aca="false">IFERROR(__xludf.dummyfunction("REGEXEXTRACT(ADDRESS(ROW(), 27+$H123), ""[A-Z]+"")"),"AA")</f>
        <v>AA</v>
      </c>
      <c r="L123" s="89" t="str">
        <f aca="false">IFERROR(__xludf.dummyfunction("REGEXEXTRACT(ADDRESS(ROW(), 28+$H123), ""[A-Z]+"")"),"AB")</f>
        <v>AB</v>
      </c>
      <c r="M123" s="89" t="str">
        <f aca="false">IFERROR(__xludf.dummyfunction("REGEXEXTRACT(ADDRESS(ROW(), 34+$H123), ""[A-Z]+"")"),"AH")</f>
        <v>AH</v>
      </c>
      <c r="N123" s="89" t="str">
        <f aca="false">IFERROR(__xludf.dummyfunction("REGEXEXTRACT(ADDRESS(ROW(), 37+$H123), ""[A-Z]+"")"),"AK")</f>
        <v>AK</v>
      </c>
      <c r="O123" s="89" t="str">
        <f aca="false">IFERROR(__xludf.dummyfunction("REGEXEXTRACT(ADDRESS(ROW(), 38+$H123), ""[A-Z]+"")"),"AL")</f>
        <v>AL</v>
      </c>
      <c r="P123" s="89" t="str">
        <f aca="false">IFERROR(__xludf.dummyfunction("REGEXEXTRACT(ADDRESS(ROW(), 39+$H123), ""[A-Z]+"")"),"AM")</f>
        <v>AM</v>
      </c>
      <c r="Q123" s="89" t="str">
        <f aca="false">IFERROR(__xludf.dummyfunction("REGEXEXTRACT(ADDRESS(ROW(), 40+$H123), ""[A-Z]+"")"),"AN")</f>
        <v>AN</v>
      </c>
      <c r="R123" s="89" t="n">
        <f aca="false">IFERROR(__xludf.dummyfunction("IFERROR(QUERY(INDIRECT(""'""&amp;$F123&amp;""'!C3:""&amp;Q123&amp;""""), ""SELECT ""&amp;I123&amp;"", ""&amp;J123&amp;"", ""&amp;K123&amp;"", ""&amp;L123&amp;"", ""&amp;M123&amp;"", ""&amp;N123&amp;"", ""&amp;O123&amp;"", ""&amp;P123&amp;"" WHERE '""&amp;B123&amp;""' CONTAINS D"", 0), """")"),20)</f>
        <v>20</v>
      </c>
      <c r="S123" s="89" t="n">
        <f aca="false">IFERROR(__xludf.dummyfunction("""COMPUTED_VALUE"""),20)</f>
        <v>20</v>
      </c>
      <c r="T123" s="89"/>
      <c r="U123" s="89"/>
      <c r="V123" s="89" t="n">
        <f aca="false">IFERROR(__xludf.dummyfunction("""COMPUTED_VALUE"""),8)</f>
        <v>8</v>
      </c>
      <c r="W123" s="89"/>
      <c r="X123" s="89" t="n">
        <f aca="false">IFERROR(__xludf.dummyfunction("""COMPUTED_VALUE"""),40)</f>
        <v>40</v>
      </c>
      <c r="Y123" s="89" t="n">
        <f aca="false">IFERROR(__xludf.dummyfunction("""COMPUTED_VALUE"""),88)</f>
        <v>88</v>
      </c>
    </row>
    <row r="124" customFormat="false" ht="17.9" hidden="false" customHeight="false" outlineLevel="0" collapsed="false">
      <c r="A124" s="85" t="n">
        <v>123</v>
      </c>
      <c r="B124" s="85" t="n">
        <v>466137</v>
      </c>
      <c r="C124" s="86" t="s">
        <v>223</v>
      </c>
      <c r="D124" s="87" t="s">
        <v>146</v>
      </c>
      <c r="E124" s="88" t="str">
        <f aca="false">D124</f>
        <v>P3113</v>
      </c>
      <c r="F124" s="88" t="str">
        <f aca="false">REPLACE(E124, 1, 3, "")</f>
        <v>13</v>
      </c>
      <c r="G124" s="89" t="str">
        <f aca="true">IFERROR(VLOOKUP(B124,INDIRECT("'"&amp;$F124&amp;"'!D3:D"),1,FALSE()), "Not found")</f>
        <v>Not found</v>
      </c>
      <c r="H124" s="89" t="n">
        <f aca="true">INDIRECT("'"&amp;$F124&amp;"'!D1")</f>
        <v>0</v>
      </c>
      <c r="I124" s="89" t="str">
        <f aca="false">IFERROR(__xludf.dummyfunction("REGEXEXTRACT(ADDRESS(ROW(), 19+$H124), ""[A-Z]+"")"),"S")</f>
        <v>S</v>
      </c>
      <c r="J124" s="89" t="str">
        <f aca="false">IFERROR(__xludf.dummyfunction("REGEXEXTRACT(ADDRESS(ROW(), 25+$H124), ""[A-Z]+"")"),"Y")</f>
        <v>Y</v>
      </c>
      <c r="K124" s="89" t="str">
        <f aca="false">IFERROR(__xludf.dummyfunction("REGEXEXTRACT(ADDRESS(ROW(), 27+$H124), ""[A-Z]+"")"),"AA")</f>
        <v>AA</v>
      </c>
      <c r="L124" s="89" t="str">
        <f aca="false">IFERROR(__xludf.dummyfunction("REGEXEXTRACT(ADDRESS(ROW(), 28+$H124), ""[A-Z]+"")"),"AB")</f>
        <v>AB</v>
      </c>
      <c r="M124" s="89" t="str">
        <f aca="false">IFERROR(__xludf.dummyfunction("REGEXEXTRACT(ADDRESS(ROW(), 34+$H124), ""[A-Z]+"")"),"AH")</f>
        <v>AH</v>
      </c>
      <c r="N124" s="89" t="str">
        <f aca="false">IFERROR(__xludf.dummyfunction("REGEXEXTRACT(ADDRESS(ROW(), 37+$H124), ""[A-Z]+"")"),"AK")</f>
        <v>AK</v>
      </c>
      <c r="O124" s="89" t="str">
        <f aca="false">IFERROR(__xludf.dummyfunction("REGEXEXTRACT(ADDRESS(ROW(), 38+$H124), ""[A-Z]+"")"),"AL")</f>
        <v>AL</v>
      </c>
      <c r="P124" s="89" t="str">
        <f aca="false">IFERROR(__xludf.dummyfunction("REGEXEXTRACT(ADDRESS(ROW(), 39+$H124), ""[A-Z]+"")"),"AM")</f>
        <v>AM</v>
      </c>
      <c r="Q124" s="89" t="str">
        <f aca="false">IFERROR(__xludf.dummyfunction("REGEXEXTRACT(ADDRESS(ROW(), 40+$H124), ""[A-Z]+"")"),"AN")</f>
        <v>AN</v>
      </c>
      <c r="R124" s="89" t="n">
        <f aca="false">IFERROR(__xludf.dummyfunction("IFERROR(QUERY(INDIRECT(""'""&amp;$F124&amp;""'!C3:""&amp;Q124&amp;""""), ""SELECT ""&amp;I124&amp;"", ""&amp;J124&amp;"", ""&amp;K124&amp;"", ""&amp;L124&amp;"", ""&amp;M124&amp;"", ""&amp;N124&amp;"", ""&amp;O124&amp;"", ""&amp;P124&amp;"" WHERE '""&amp;B124&amp;""' CONTAINS D"", 0), """")"),19)</f>
        <v>19</v>
      </c>
      <c r="S124" s="89" t="n">
        <f aca="false">IFERROR(__xludf.dummyfunction("""COMPUTED_VALUE"""),17)</f>
        <v>17</v>
      </c>
      <c r="T124" s="89"/>
      <c r="U124" s="89"/>
      <c r="V124" s="89" t="n">
        <f aca="false">IFERROR(__xludf.dummyfunction("""COMPUTED_VALUE"""),6)</f>
        <v>6</v>
      </c>
      <c r="W124" s="89"/>
      <c r="X124" s="89" t="n">
        <f aca="false">IFERROR(__xludf.dummyfunction("""COMPUTED_VALUE"""),30)</f>
        <v>30</v>
      </c>
      <c r="Y124" s="89" t="n">
        <f aca="false">IFERROR(__xludf.dummyfunction("""COMPUTED_VALUE"""),72)</f>
        <v>72</v>
      </c>
    </row>
    <row r="125" customFormat="false" ht="17.9" hidden="false" customHeight="false" outlineLevel="0" collapsed="false">
      <c r="A125" s="85" t="n">
        <v>124</v>
      </c>
      <c r="B125" s="85" t="n">
        <v>466138</v>
      </c>
      <c r="C125" s="86" t="s">
        <v>224</v>
      </c>
      <c r="D125" s="87" t="s">
        <v>95</v>
      </c>
      <c r="E125" s="88" t="str">
        <f aca="false">D125</f>
        <v>P3106</v>
      </c>
      <c r="F125" s="88" t="str">
        <f aca="false">REPLACE(E125, 1, 3, "")</f>
        <v>06</v>
      </c>
      <c r="G125" s="89" t="str">
        <f aca="true">IFERROR(VLOOKUP(B125,INDIRECT("'"&amp;$F125&amp;"'!D3:D"),1,FALSE()), "Not found")</f>
        <v>Not found</v>
      </c>
      <c r="H125" s="89" t="n">
        <f aca="true">INDIRECT("'"&amp;$F125&amp;"'!D1")</f>
        <v>0</v>
      </c>
      <c r="I125" s="89" t="str">
        <f aca="false">IFERROR(__xludf.dummyfunction("REGEXEXTRACT(ADDRESS(ROW(), 19+$H125), ""[A-Z]+"")"),"S")</f>
        <v>S</v>
      </c>
      <c r="J125" s="89" t="str">
        <f aca="false">IFERROR(__xludf.dummyfunction("REGEXEXTRACT(ADDRESS(ROW(), 25+$H125), ""[A-Z]+"")"),"Y")</f>
        <v>Y</v>
      </c>
      <c r="K125" s="89" t="str">
        <f aca="false">IFERROR(__xludf.dummyfunction("REGEXEXTRACT(ADDRESS(ROW(), 27+$H125), ""[A-Z]+"")"),"AA")</f>
        <v>AA</v>
      </c>
      <c r="L125" s="89" t="str">
        <f aca="false">IFERROR(__xludf.dummyfunction("REGEXEXTRACT(ADDRESS(ROW(), 28+$H125), ""[A-Z]+"")"),"AB")</f>
        <v>AB</v>
      </c>
      <c r="M125" s="89" t="str">
        <f aca="false">IFERROR(__xludf.dummyfunction("REGEXEXTRACT(ADDRESS(ROW(), 34+$H125), ""[A-Z]+"")"),"AH")</f>
        <v>AH</v>
      </c>
      <c r="N125" s="89" t="str">
        <f aca="false">IFERROR(__xludf.dummyfunction("REGEXEXTRACT(ADDRESS(ROW(), 37+$H125), ""[A-Z]+"")"),"AK")</f>
        <v>AK</v>
      </c>
      <c r="O125" s="89" t="str">
        <f aca="false">IFERROR(__xludf.dummyfunction("REGEXEXTRACT(ADDRESS(ROW(), 38+$H125), ""[A-Z]+"")"),"AL")</f>
        <v>AL</v>
      </c>
      <c r="P125" s="89" t="str">
        <f aca="false">IFERROR(__xludf.dummyfunction("REGEXEXTRACT(ADDRESS(ROW(), 39+$H125), ""[A-Z]+"")"),"AM")</f>
        <v>AM</v>
      </c>
      <c r="Q125" s="89" t="str">
        <f aca="false">IFERROR(__xludf.dummyfunction("REGEXEXTRACT(ADDRESS(ROW(), 40+$H125), ""[A-Z]+"")"),"AN")</f>
        <v>AN</v>
      </c>
      <c r="R125" s="89" t="str">
        <f aca="false">IFERROR(__xludf.dummyfunction("IFERROR(QUERY(INDIRECT(""'""&amp;$F125&amp;""'!C3:""&amp;Q125&amp;""""), ""SELECT ""&amp;I125&amp;"", ""&amp;J125&amp;"", ""&amp;K125&amp;"", ""&amp;L125&amp;"", ""&amp;M125&amp;"", ""&amp;N125&amp;"", ""&amp;O125&amp;"", ""&amp;P125&amp;"" WHERE '""&amp;B125&amp;""' CONTAINS D"", 0), """")"),"")</f>
        <v/>
      </c>
      <c r="S125" s="89"/>
      <c r="T125" s="89"/>
      <c r="U125" s="89"/>
      <c r="V125" s="89" t="n">
        <f aca="false">IFERROR(__xludf.dummyfunction("""COMPUTED_VALUE"""),0)</f>
        <v>0</v>
      </c>
      <c r="W125" s="89"/>
      <c r="X125" s="89"/>
      <c r="Y125" s="89" t="n">
        <f aca="false">IFERROR(__xludf.dummyfunction("""COMPUTED_VALUE"""),0)</f>
        <v>0</v>
      </c>
    </row>
    <row r="126" customFormat="false" ht="17.9" hidden="false" customHeight="false" outlineLevel="0" collapsed="false">
      <c r="A126" s="85" t="n">
        <v>125</v>
      </c>
      <c r="B126" s="85" t="n">
        <v>466140</v>
      </c>
      <c r="C126" s="86" t="s">
        <v>225</v>
      </c>
      <c r="D126" s="87" t="s">
        <v>93</v>
      </c>
      <c r="E126" s="88" t="str">
        <f aca="false">D126</f>
        <v>P3114</v>
      </c>
      <c r="F126" s="88" t="str">
        <f aca="false">REPLACE(E126, 1, 3, "")</f>
        <v>14</v>
      </c>
      <c r="G126" s="89" t="str">
        <f aca="true">IFERROR(VLOOKUP(B126,INDIRECT("'"&amp;$F126&amp;"'!D3:D"),1,FALSE()), "Not found")</f>
        <v>Not found</v>
      </c>
      <c r="H126" s="89" t="n">
        <f aca="true">INDIRECT("'"&amp;$F126&amp;"'!D1")</f>
        <v>0</v>
      </c>
      <c r="I126" s="89" t="str">
        <f aca="false">IFERROR(__xludf.dummyfunction("REGEXEXTRACT(ADDRESS(ROW(), 19+$H126), ""[A-Z]+"")"),"S")</f>
        <v>S</v>
      </c>
      <c r="J126" s="89" t="str">
        <f aca="false">IFERROR(__xludf.dummyfunction("REGEXEXTRACT(ADDRESS(ROW(), 25+$H126), ""[A-Z]+"")"),"Y")</f>
        <v>Y</v>
      </c>
      <c r="K126" s="89" t="str">
        <f aca="false">IFERROR(__xludf.dummyfunction("REGEXEXTRACT(ADDRESS(ROW(), 27+$H126), ""[A-Z]+"")"),"AA")</f>
        <v>AA</v>
      </c>
      <c r="L126" s="89" t="str">
        <f aca="false">IFERROR(__xludf.dummyfunction("REGEXEXTRACT(ADDRESS(ROW(), 28+$H126), ""[A-Z]+"")"),"AB")</f>
        <v>AB</v>
      </c>
      <c r="M126" s="89" t="str">
        <f aca="false">IFERROR(__xludf.dummyfunction("REGEXEXTRACT(ADDRESS(ROW(), 34+$H126), ""[A-Z]+"")"),"AH")</f>
        <v>AH</v>
      </c>
      <c r="N126" s="89" t="str">
        <f aca="false">IFERROR(__xludf.dummyfunction("REGEXEXTRACT(ADDRESS(ROW(), 37+$H126), ""[A-Z]+"")"),"AK")</f>
        <v>AK</v>
      </c>
      <c r="O126" s="89" t="str">
        <f aca="false">IFERROR(__xludf.dummyfunction("REGEXEXTRACT(ADDRESS(ROW(), 38+$H126), ""[A-Z]+"")"),"AL")</f>
        <v>AL</v>
      </c>
      <c r="P126" s="89" t="str">
        <f aca="false">IFERROR(__xludf.dummyfunction("REGEXEXTRACT(ADDRESS(ROW(), 39+$H126), ""[A-Z]+"")"),"AM")</f>
        <v>AM</v>
      </c>
      <c r="Q126" s="89" t="str">
        <f aca="false">IFERROR(__xludf.dummyfunction("REGEXEXTRACT(ADDRESS(ROW(), 40+$H126), ""[A-Z]+"")"),"AN")</f>
        <v>AN</v>
      </c>
      <c r="R126" s="89" t="n">
        <f aca="false">IFERROR(__xludf.dummyfunction("IFERROR(QUERY(INDIRECT(""'""&amp;$F126&amp;""'!C3:""&amp;Q126&amp;""""), ""SELECT ""&amp;I126&amp;"", ""&amp;J126&amp;"", ""&amp;K126&amp;"", ""&amp;L126&amp;"", ""&amp;M126&amp;"", ""&amp;N126&amp;"", ""&amp;O126&amp;"", ""&amp;P126&amp;"" WHERE '""&amp;B126&amp;""' CONTAINS D"", 0), """")"),16)</f>
        <v>16</v>
      </c>
      <c r="S126" s="89" t="n">
        <f aca="false">IFERROR(__xludf.dummyfunction("""COMPUTED_VALUE"""),18)</f>
        <v>18</v>
      </c>
      <c r="T126" s="89"/>
      <c r="U126" s="89"/>
      <c r="V126" s="89" t="n">
        <f aca="false">IFERROR(__xludf.dummyfunction("""COMPUTED_VALUE"""),6)</f>
        <v>6</v>
      </c>
      <c r="W126" s="89"/>
      <c r="X126" s="89" t="n">
        <f aca="false">IFERROR(__xludf.dummyfunction("""COMPUTED_VALUE"""),40)</f>
        <v>40</v>
      </c>
      <c r="Y126" s="89" t="n">
        <f aca="false">IFERROR(__xludf.dummyfunction("""COMPUTED_VALUE"""),80)</f>
        <v>80</v>
      </c>
    </row>
    <row r="127" customFormat="false" ht="17.9" hidden="false" customHeight="false" outlineLevel="0" collapsed="false">
      <c r="A127" s="85" t="n">
        <v>126</v>
      </c>
      <c r="B127" s="85" t="n">
        <v>466150</v>
      </c>
      <c r="C127" s="86" t="s">
        <v>226</v>
      </c>
      <c r="D127" s="87" t="s">
        <v>151</v>
      </c>
      <c r="E127" s="88" t="str">
        <f aca="false">D127</f>
        <v>P3122</v>
      </c>
      <c r="F127" s="88" t="str">
        <f aca="false">REPLACE(E127, 1, 3, "")</f>
        <v>22</v>
      </c>
      <c r="G127" s="89" t="str">
        <f aca="true">IFERROR(VLOOKUP(B127,INDIRECT("'"&amp;$F127&amp;"'!D3:D"),1,FALSE()), "Not found")</f>
        <v>Not found</v>
      </c>
      <c r="H127" s="89" t="n">
        <f aca="true">INDIRECT("'"&amp;$F127&amp;"'!D1")</f>
        <v>0</v>
      </c>
      <c r="I127" s="89" t="str">
        <f aca="false">IFERROR(__xludf.dummyfunction("REGEXEXTRACT(ADDRESS(ROW(), 19+$H127), ""[A-Z]+"")"),"S")</f>
        <v>S</v>
      </c>
      <c r="J127" s="89" t="str">
        <f aca="false">IFERROR(__xludf.dummyfunction("REGEXEXTRACT(ADDRESS(ROW(), 25+$H127), ""[A-Z]+"")"),"Y")</f>
        <v>Y</v>
      </c>
      <c r="K127" s="89" t="str">
        <f aca="false">IFERROR(__xludf.dummyfunction("REGEXEXTRACT(ADDRESS(ROW(), 27+$H127), ""[A-Z]+"")"),"AA")</f>
        <v>AA</v>
      </c>
      <c r="L127" s="89" t="str">
        <f aca="false">IFERROR(__xludf.dummyfunction("REGEXEXTRACT(ADDRESS(ROW(), 28+$H127), ""[A-Z]+"")"),"AB")</f>
        <v>AB</v>
      </c>
      <c r="M127" s="89" t="str">
        <f aca="false">IFERROR(__xludf.dummyfunction("REGEXEXTRACT(ADDRESS(ROW(), 34+$H127), ""[A-Z]+"")"),"AH")</f>
        <v>AH</v>
      </c>
      <c r="N127" s="89" t="str">
        <f aca="false">IFERROR(__xludf.dummyfunction("REGEXEXTRACT(ADDRESS(ROW(), 37+$H127), ""[A-Z]+"")"),"AK")</f>
        <v>AK</v>
      </c>
      <c r="O127" s="89" t="str">
        <f aca="false">IFERROR(__xludf.dummyfunction("REGEXEXTRACT(ADDRESS(ROW(), 38+$H127), ""[A-Z]+"")"),"AL")</f>
        <v>AL</v>
      </c>
      <c r="P127" s="89" t="str">
        <f aca="false">IFERROR(__xludf.dummyfunction("REGEXEXTRACT(ADDRESS(ROW(), 39+$H127), ""[A-Z]+"")"),"AM")</f>
        <v>AM</v>
      </c>
      <c r="Q127" s="89" t="str">
        <f aca="false">IFERROR(__xludf.dummyfunction("REGEXEXTRACT(ADDRESS(ROW(), 40+$H127), ""[A-Z]+"")"),"AN")</f>
        <v>AN</v>
      </c>
      <c r="R127" s="89" t="n">
        <f aca="false">IFERROR(__xludf.dummyfunction("IFERROR(QUERY(INDIRECT(""'""&amp;$F127&amp;""'!C3:""&amp;Q127&amp;""""), ""SELECT ""&amp;I127&amp;"", ""&amp;J127&amp;"", ""&amp;K127&amp;"", ""&amp;L127&amp;"", ""&amp;M127&amp;"", ""&amp;N127&amp;"", ""&amp;O127&amp;"", ""&amp;P127&amp;"" WHERE '""&amp;B127&amp;""' CONTAINS D"", 0), """")"),18.5)</f>
        <v>18.5</v>
      </c>
      <c r="S127" s="89" t="n">
        <f aca="false">IFERROR(__xludf.dummyfunction("""COMPUTED_VALUE"""),18)</f>
        <v>18</v>
      </c>
      <c r="T127" s="89"/>
      <c r="U127" s="89"/>
      <c r="V127" s="89" t="n">
        <f aca="false">IFERROR(__xludf.dummyfunction("""COMPUTED_VALUE"""),10)</f>
        <v>10</v>
      </c>
      <c r="W127" s="89"/>
      <c r="X127" s="89" t="n">
        <f aca="false">IFERROR(__xludf.dummyfunction("""COMPUTED_VALUE"""),40)</f>
        <v>40</v>
      </c>
      <c r="Y127" s="89" t="n">
        <f aca="false">IFERROR(__xludf.dummyfunction("""COMPUTED_VALUE"""),86.5)</f>
        <v>86.5</v>
      </c>
    </row>
    <row r="128" customFormat="false" ht="17.9" hidden="false" customHeight="false" outlineLevel="0" collapsed="false">
      <c r="A128" s="85" t="n">
        <v>127</v>
      </c>
      <c r="B128" s="85" t="n">
        <v>466177</v>
      </c>
      <c r="C128" s="86" t="s">
        <v>227</v>
      </c>
      <c r="D128" s="87" t="s">
        <v>125</v>
      </c>
      <c r="E128" s="88" t="str">
        <f aca="false">D128</f>
        <v>P3115</v>
      </c>
      <c r="F128" s="88" t="str">
        <f aca="false">REPLACE(E128, 1, 3, "")</f>
        <v>15</v>
      </c>
      <c r="G128" s="89" t="str">
        <f aca="true">IFERROR(VLOOKUP(B128,INDIRECT("'"&amp;$F128&amp;"'!D3:D"),1,FALSE()), "Not found")</f>
        <v>Not found</v>
      </c>
      <c r="H128" s="89" t="n">
        <f aca="true">INDIRECT("'"&amp;$F128&amp;"'!D1")</f>
        <v>1</v>
      </c>
      <c r="I128" s="89" t="str">
        <f aca="false">IFERROR(__xludf.dummyfunction("REGEXEXTRACT(ADDRESS(ROW(), 19+$H128), ""[A-Z]+"")"),"T")</f>
        <v>T</v>
      </c>
      <c r="J128" s="89" t="str">
        <f aca="false">IFERROR(__xludf.dummyfunction("REGEXEXTRACT(ADDRESS(ROW(), 25+$H128), ""[A-Z]+"")"),"Z")</f>
        <v>Z</v>
      </c>
      <c r="K128" s="89" t="str">
        <f aca="false">IFERROR(__xludf.dummyfunction("REGEXEXTRACT(ADDRESS(ROW(), 27+$H128), ""[A-Z]+"")"),"AB")</f>
        <v>AB</v>
      </c>
      <c r="L128" s="89" t="str">
        <f aca="false">IFERROR(__xludf.dummyfunction("REGEXEXTRACT(ADDRESS(ROW(), 28+$H128), ""[A-Z]+"")"),"AC")</f>
        <v>AC</v>
      </c>
      <c r="M128" s="89" t="str">
        <f aca="false">IFERROR(__xludf.dummyfunction("REGEXEXTRACT(ADDRESS(ROW(), 34+$H128), ""[A-Z]+"")"),"AI")</f>
        <v>AI</v>
      </c>
      <c r="N128" s="89" t="str">
        <f aca="false">IFERROR(__xludf.dummyfunction("REGEXEXTRACT(ADDRESS(ROW(), 37+$H128), ""[A-Z]+"")"),"AL")</f>
        <v>AL</v>
      </c>
      <c r="O128" s="89" t="str">
        <f aca="false">IFERROR(__xludf.dummyfunction("REGEXEXTRACT(ADDRESS(ROW(), 38+$H128), ""[A-Z]+"")"),"AM")</f>
        <v>AM</v>
      </c>
      <c r="P128" s="89" t="str">
        <f aca="false">IFERROR(__xludf.dummyfunction("REGEXEXTRACT(ADDRESS(ROW(), 39+$H128), ""[A-Z]+"")"),"AN")</f>
        <v>AN</v>
      </c>
      <c r="Q128" s="89" t="str">
        <f aca="false">IFERROR(__xludf.dummyfunction("REGEXEXTRACT(ADDRESS(ROW(), 40+$H128), ""[A-Z]+"")"),"AO")</f>
        <v>AO</v>
      </c>
      <c r="R128" s="89" t="n">
        <f aca="false">IFERROR(__xludf.dummyfunction("IFERROR(QUERY(INDIRECT(""'""&amp;$F128&amp;""'!C3:""&amp;Q128&amp;""""), ""SELECT ""&amp;I128&amp;"", ""&amp;J128&amp;"", ""&amp;K128&amp;"", ""&amp;L128&amp;"", ""&amp;M128&amp;"", ""&amp;N128&amp;"", ""&amp;O128&amp;"", ""&amp;P128&amp;"" WHERE '""&amp;B128&amp;""' CONTAINS D"", 0), """")"),18.5)</f>
        <v>18.5</v>
      </c>
      <c r="S128" s="89" t="n">
        <f aca="false">IFERROR(__xludf.dummyfunction("""COMPUTED_VALUE"""),18)</f>
        <v>18</v>
      </c>
      <c r="T128" s="89"/>
      <c r="U128" s="89"/>
      <c r="V128" s="89" t="n">
        <f aca="false">IFERROR(__xludf.dummyfunction("""COMPUTED_VALUE"""),6)</f>
        <v>6</v>
      </c>
      <c r="W128" s="89"/>
      <c r="X128" s="89" t="n">
        <f aca="false">IFERROR(__xludf.dummyfunction("""COMPUTED_VALUE"""),39)</f>
        <v>39</v>
      </c>
      <c r="Y128" s="89" t="n">
        <f aca="false">IFERROR(__xludf.dummyfunction("""COMPUTED_VALUE"""),81.5)</f>
        <v>81.5</v>
      </c>
    </row>
    <row r="129" customFormat="false" ht="17.9" hidden="false" customHeight="false" outlineLevel="0" collapsed="false">
      <c r="A129" s="85" t="n">
        <v>128</v>
      </c>
      <c r="B129" s="85" t="n">
        <v>466179</v>
      </c>
      <c r="C129" s="86" t="s">
        <v>228</v>
      </c>
      <c r="D129" s="87" t="s">
        <v>183</v>
      </c>
      <c r="E129" s="88" t="str">
        <f aca="false">D129</f>
        <v>P3107</v>
      </c>
      <c r="F129" s="88" t="str">
        <f aca="false">REPLACE(E129, 1, 3, "")</f>
        <v>07</v>
      </c>
      <c r="G129" s="89" t="str">
        <f aca="true">IFERROR(VLOOKUP(B129,INDIRECT("'"&amp;$F129&amp;"'!D3:D"),1,FALSE()), "Not found")</f>
        <v>Not found</v>
      </c>
      <c r="H129" s="89" t="n">
        <f aca="true">INDIRECT("'"&amp;$F129&amp;"'!D1")</f>
        <v>0</v>
      </c>
      <c r="I129" s="89" t="str">
        <f aca="false">IFERROR(__xludf.dummyfunction("REGEXEXTRACT(ADDRESS(ROW(), 19+$H129), ""[A-Z]+"")"),"S")</f>
        <v>S</v>
      </c>
      <c r="J129" s="89" t="str">
        <f aca="false">IFERROR(__xludf.dummyfunction("REGEXEXTRACT(ADDRESS(ROW(), 25+$H129), ""[A-Z]+"")"),"Y")</f>
        <v>Y</v>
      </c>
      <c r="K129" s="89" t="str">
        <f aca="false">IFERROR(__xludf.dummyfunction("REGEXEXTRACT(ADDRESS(ROW(), 27+$H129), ""[A-Z]+"")"),"AA")</f>
        <v>AA</v>
      </c>
      <c r="L129" s="89" t="str">
        <f aca="false">IFERROR(__xludf.dummyfunction("REGEXEXTRACT(ADDRESS(ROW(), 28+$H129), ""[A-Z]+"")"),"AB")</f>
        <v>AB</v>
      </c>
      <c r="M129" s="89" t="str">
        <f aca="false">IFERROR(__xludf.dummyfunction("REGEXEXTRACT(ADDRESS(ROW(), 34+$H129), ""[A-Z]+"")"),"AH")</f>
        <v>AH</v>
      </c>
      <c r="N129" s="89" t="str">
        <f aca="false">IFERROR(__xludf.dummyfunction("REGEXEXTRACT(ADDRESS(ROW(), 37+$H129), ""[A-Z]+"")"),"AK")</f>
        <v>AK</v>
      </c>
      <c r="O129" s="89" t="str">
        <f aca="false">IFERROR(__xludf.dummyfunction("REGEXEXTRACT(ADDRESS(ROW(), 38+$H129), ""[A-Z]+"")"),"AL")</f>
        <v>AL</v>
      </c>
      <c r="P129" s="89" t="str">
        <f aca="false">IFERROR(__xludf.dummyfunction("REGEXEXTRACT(ADDRESS(ROW(), 39+$H129), ""[A-Z]+"")"),"AM")</f>
        <v>AM</v>
      </c>
      <c r="Q129" s="89" t="str">
        <f aca="false">IFERROR(__xludf.dummyfunction("REGEXEXTRACT(ADDRESS(ROW(), 40+$H129), ""[A-Z]+"")"),"AN")</f>
        <v>AN</v>
      </c>
      <c r="R129" s="89" t="n">
        <f aca="false">IFERROR(__xludf.dummyfunction("IFERROR(QUERY(INDIRECT(""'""&amp;$F129&amp;""'!C3:""&amp;Q129&amp;""""), ""SELECT ""&amp;I129&amp;"", ""&amp;J129&amp;"", ""&amp;K129&amp;"", ""&amp;L129&amp;"", ""&amp;M129&amp;"", ""&amp;N129&amp;"", ""&amp;O129&amp;"", ""&amp;P129&amp;"" WHERE '""&amp;B129&amp;""' CONTAINS D"", 0), """")"),17)</f>
        <v>17</v>
      </c>
      <c r="S129" s="89" t="n">
        <f aca="false">IFERROR(__xludf.dummyfunction("""COMPUTED_VALUE"""),12)</f>
        <v>12</v>
      </c>
      <c r="T129" s="89"/>
      <c r="U129" s="89"/>
      <c r="V129" s="89" t="n">
        <f aca="false">IFERROR(__xludf.dummyfunction("""COMPUTED_VALUE"""),0.02)</f>
        <v>0.02</v>
      </c>
      <c r="W129" s="89"/>
      <c r="X129" s="89"/>
      <c r="Y129" s="89" t="n">
        <f aca="false">IFERROR(__xludf.dummyfunction("""COMPUTED_VALUE"""),29.02)</f>
        <v>29.02</v>
      </c>
    </row>
    <row r="130" customFormat="false" ht="17.9" hidden="false" customHeight="false" outlineLevel="0" collapsed="false">
      <c r="A130" s="85" t="n">
        <v>129</v>
      </c>
      <c r="B130" s="85" t="n">
        <v>474305</v>
      </c>
      <c r="C130" s="86" t="s">
        <v>229</v>
      </c>
      <c r="D130" s="87" t="s">
        <v>151</v>
      </c>
      <c r="E130" s="88" t="str">
        <f aca="false">D130</f>
        <v>P3122</v>
      </c>
      <c r="F130" s="88" t="str">
        <f aca="false">REPLACE(E130, 1, 3, "")</f>
        <v>22</v>
      </c>
      <c r="G130" s="89" t="str">
        <f aca="true">IFERROR(VLOOKUP(B130,INDIRECT("'"&amp;$F130&amp;"'!D3:D"),1,FALSE()), "Not found")</f>
        <v>Not found</v>
      </c>
      <c r="H130" s="89" t="n">
        <f aca="true">INDIRECT("'"&amp;$F130&amp;"'!D1")</f>
        <v>0</v>
      </c>
      <c r="I130" s="89" t="str">
        <f aca="false">IFERROR(__xludf.dummyfunction("REGEXEXTRACT(ADDRESS(ROW(), 19+$H130), ""[A-Z]+"")"),"S")</f>
        <v>S</v>
      </c>
      <c r="J130" s="89" t="str">
        <f aca="false">IFERROR(__xludf.dummyfunction("REGEXEXTRACT(ADDRESS(ROW(), 25+$H130), ""[A-Z]+"")"),"Y")</f>
        <v>Y</v>
      </c>
      <c r="K130" s="89" t="str">
        <f aca="false">IFERROR(__xludf.dummyfunction("REGEXEXTRACT(ADDRESS(ROW(), 27+$H130), ""[A-Z]+"")"),"AA")</f>
        <v>AA</v>
      </c>
      <c r="L130" s="89" t="str">
        <f aca="false">IFERROR(__xludf.dummyfunction("REGEXEXTRACT(ADDRESS(ROW(), 28+$H130), ""[A-Z]+"")"),"AB")</f>
        <v>AB</v>
      </c>
      <c r="M130" s="89" t="str">
        <f aca="false">IFERROR(__xludf.dummyfunction("REGEXEXTRACT(ADDRESS(ROW(), 34+$H130), ""[A-Z]+"")"),"AH")</f>
        <v>AH</v>
      </c>
      <c r="N130" s="89" t="str">
        <f aca="false">IFERROR(__xludf.dummyfunction("REGEXEXTRACT(ADDRESS(ROW(), 37+$H130), ""[A-Z]+"")"),"AK")</f>
        <v>AK</v>
      </c>
      <c r="O130" s="89" t="str">
        <f aca="false">IFERROR(__xludf.dummyfunction("REGEXEXTRACT(ADDRESS(ROW(), 38+$H130), ""[A-Z]+"")"),"AL")</f>
        <v>AL</v>
      </c>
      <c r="P130" s="89" t="str">
        <f aca="false">IFERROR(__xludf.dummyfunction("REGEXEXTRACT(ADDRESS(ROW(), 39+$H130), ""[A-Z]+"")"),"AM")</f>
        <v>AM</v>
      </c>
      <c r="Q130" s="89" t="str">
        <f aca="false">IFERROR(__xludf.dummyfunction("REGEXEXTRACT(ADDRESS(ROW(), 40+$H130), ""[A-Z]+"")"),"AN")</f>
        <v>AN</v>
      </c>
      <c r="R130" s="89" t="n">
        <f aca="false">IFERROR(__xludf.dummyfunction("IFERROR(QUERY(INDIRECT(""'""&amp;$F130&amp;""'!C3:""&amp;Q130&amp;""""), ""SELECT ""&amp;I130&amp;"", ""&amp;J130&amp;"", ""&amp;K130&amp;"", ""&amp;L130&amp;"", ""&amp;M130&amp;"", ""&amp;N130&amp;"", ""&amp;O130&amp;"", ""&amp;P130&amp;"" WHERE '""&amp;B130&amp;""' CONTAINS D"", 0), """")"),18.5)</f>
        <v>18.5</v>
      </c>
      <c r="S130" s="89" t="n">
        <f aca="false">IFERROR(__xludf.dummyfunction("""COMPUTED_VALUE"""),19)</f>
        <v>19</v>
      </c>
      <c r="T130" s="89"/>
      <c r="U130" s="89"/>
      <c r="V130" s="89" t="n">
        <f aca="false">IFERROR(__xludf.dummyfunction("""COMPUTED_VALUE"""),6)</f>
        <v>6</v>
      </c>
      <c r="W130" s="89"/>
      <c r="X130" s="89" t="n">
        <f aca="false">IFERROR(__xludf.dummyfunction("""COMPUTED_VALUE"""),40)</f>
        <v>40</v>
      </c>
      <c r="Y130" s="89" t="n">
        <f aca="false">IFERROR(__xludf.dummyfunction("""COMPUTED_VALUE"""),83.5)</f>
        <v>83.5</v>
      </c>
    </row>
    <row r="131" customFormat="false" ht="17.9" hidden="false" customHeight="false" outlineLevel="0" collapsed="false">
      <c r="A131" s="85" t="n">
        <v>130</v>
      </c>
      <c r="B131" s="85" t="n">
        <v>466197</v>
      </c>
      <c r="C131" s="86" t="s">
        <v>230</v>
      </c>
      <c r="D131" s="87" t="s">
        <v>85</v>
      </c>
      <c r="E131" s="88" t="str">
        <f aca="false">D131</f>
        <v>P3132</v>
      </c>
      <c r="F131" s="88" t="str">
        <f aca="false">REPLACE(E131, 1, 3, "")</f>
        <v>32</v>
      </c>
      <c r="G131" s="89" t="str">
        <f aca="true">IFERROR(VLOOKUP(B131,INDIRECT("'"&amp;$F131&amp;"'!D3:D"),1,FALSE()), "Not found")</f>
        <v>Not found</v>
      </c>
      <c r="H131" s="89" t="n">
        <f aca="true">INDIRECT("'"&amp;$F131&amp;"'!D1")</f>
        <v>0</v>
      </c>
      <c r="I131" s="89" t="str">
        <f aca="false">IFERROR(__xludf.dummyfunction("REGEXEXTRACT(ADDRESS(ROW(), 19+$H131), ""[A-Z]+"")"),"S")</f>
        <v>S</v>
      </c>
      <c r="J131" s="89" t="str">
        <f aca="false">IFERROR(__xludf.dummyfunction("REGEXEXTRACT(ADDRESS(ROW(), 25+$H131), ""[A-Z]+"")"),"Y")</f>
        <v>Y</v>
      </c>
      <c r="K131" s="89" t="str">
        <f aca="false">IFERROR(__xludf.dummyfunction("REGEXEXTRACT(ADDRESS(ROW(), 27+$H131), ""[A-Z]+"")"),"AA")</f>
        <v>AA</v>
      </c>
      <c r="L131" s="89" t="str">
        <f aca="false">IFERROR(__xludf.dummyfunction("REGEXEXTRACT(ADDRESS(ROW(), 28+$H131), ""[A-Z]+"")"),"AB")</f>
        <v>AB</v>
      </c>
      <c r="M131" s="89" t="str">
        <f aca="false">IFERROR(__xludf.dummyfunction("REGEXEXTRACT(ADDRESS(ROW(), 34+$H131), ""[A-Z]+"")"),"AH")</f>
        <v>AH</v>
      </c>
      <c r="N131" s="89" t="str">
        <f aca="false">IFERROR(__xludf.dummyfunction("REGEXEXTRACT(ADDRESS(ROW(), 37+$H131), ""[A-Z]+"")"),"AK")</f>
        <v>AK</v>
      </c>
      <c r="O131" s="89" t="str">
        <f aca="false">IFERROR(__xludf.dummyfunction("REGEXEXTRACT(ADDRESS(ROW(), 38+$H131), ""[A-Z]+"")"),"AL")</f>
        <v>AL</v>
      </c>
      <c r="P131" s="89" t="str">
        <f aca="false">IFERROR(__xludf.dummyfunction("REGEXEXTRACT(ADDRESS(ROW(), 39+$H131), ""[A-Z]+"")"),"AM")</f>
        <v>AM</v>
      </c>
      <c r="Q131" s="89" t="str">
        <f aca="false">IFERROR(__xludf.dummyfunction("REGEXEXTRACT(ADDRESS(ROW(), 40+$H131), ""[A-Z]+"")"),"AN")</f>
        <v>AN</v>
      </c>
      <c r="R131" s="89" t="n">
        <f aca="false">IFERROR(__xludf.dummyfunction("IFERROR(QUERY(INDIRECT(""'""&amp;$F131&amp;""'!C3:""&amp;Q131&amp;""""), ""SELECT ""&amp;I131&amp;"", ""&amp;J131&amp;"", ""&amp;K131&amp;"", ""&amp;L131&amp;"", ""&amp;M131&amp;"", ""&amp;N131&amp;"", ""&amp;O131&amp;"", ""&amp;P131&amp;"" WHERE '""&amp;B131&amp;""' CONTAINS D"", 0), """")"),17)</f>
        <v>17</v>
      </c>
      <c r="S131" s="89" t="n">
        <f aca="false">IFERROR(__xludf.dummyfunction("""COMPUTED_VALUE"""),16)</f>
        <v>16</v>
      </c>
      <c r="T131" s="89"/>
      <c r="U131" s="89"/>
      <c r="V131" s="89" t="n">
        <f aca="false">IFERROR(__xludf.dummyfunction("""COMPUTED_VALUE"""),6)</f>
        <v>6</v>
      </c>
      <c r="W131" s="89"/>
      <c r="X131" s="89" t="n">
        <f aca="false">IFERROR(__xludf.dummyfunction("""COMPUTED_VALUE"""),35)</f>
        <v>35</v>
      </c>
      <c r="Y131" s="89" t="n">
        <f aca="false">IFERROR(__xludf.dummyfunction("""COMPUTED_VALUE"""),74)</f>
        <v>74</v>
      </c>
    </row>
    <row r="132" customFormat="false" ht="17.9" hidden="false" customHeight="false" outlineLevel="0" collapsed="false">
      <c r="A132" s="85" t="n">
        <v>131</v>
      </c>
      <c r="B132" s="85" t="n">
        <v>466200</v>
      </c>
      <c r="C132" s="86" t="s">
        <v>231</v>
      </c>
      <c r="D132" s="87" t="s">
        <v>117</v>
      </c>
      <c r="E132" s="88" t="str">
        <f aca="false">D132</f>
        <v>P3116</v>
      </c>
      <c r="F132" s="88" t="str">
        <f aca="false">REPLACE(E132, 1, 3, "")</f>
        <v>16</v>
      </c>
      <c r="G132" s="89" t="str">
        <f aca="true">IFERROR(VLOOKUP(B132,INDIRECT("'"&amp;$F132&amp;"'!D3:D"),1,FALSE()), "Not found")</f>
        <v>Not found</v>
      </c>
      <c r="H132" s="89" t="n">
        <f aca="true">INDIRECT("'"&amp;$F132&amp;"'!D1")</f>
        <v>0</v>
      </c>
      <c r="I132" s="89" t="str">
        <f aca="false">IFERROR(__xludf.dummyfunction("REGEXEXTRACT(ADDRESS(ROW(), 19+$H132), ""[A-Z]+"")"),"S")</f>
        <v>S</v>
      </c>
      <c r="J132" s="89" t="str">
        <f aca="false">IFERROR(__xludf.dummyfunction("REGEXEXTRACT(ADDRESS(ROW(), 25+$H132), ""[A-Z]+"")"),"Y")</f>
        <v>Y</v>
      </c>
      <c r="K132" s="89" t="str">
        <f aca="false">IFERROR(__xludf.dummyfunction("REGEXEXTRACT(ADDRESS(ROW(), 27+$H132), ""[A-Z]+"")"),"AA")</f>
        <v>AA</v>
      </c>
      <c r="L132" s="89" t="str">
        <f aca="false">IFERROR(__xludf.dummyfunction("REGEXEXTRACT(ADDRESS(ROW(), 28+$H132), ""[A-Z]+"")"),"AB")</f>
        <v>AB</v>
      </c>
      <c r="M132" s="89" t="str">
        <f aca="false">IFERROR(__xludf.dummyfunction("REGEXEXTRACT(ADDRESS(ROW(), 34+$H132), ""[A-Z]+"")"),"AH")</f>
        <v>AH</v>
      </c>
      <c r="N132" s="89" t="str">
        <f aca="false">IFERROR(__xludf.dummyfunction("REGEXEXTRACT(ADDRESS(ROW(), 37+$H132), ""[A-Z]+"")"),"AK")</f>
        <v>AK</v>
      </c>
      <c r="O132" s="89" t="str">
        <f aca="false">IFERROR(__xludf.dummyfunction("REGEXEXTRACT(ADDRESS(ROW(), 38+$H132), ""[A-Z]+"")"),"AL")</f>
        <v>AL</v>
      </c>
      <c r="P132" s="89" t="str">
        <f aca="false">IFERROR(__xludf.dummyfunction("REGEXEXTRACT(ADDRESS(ROW(), 39+$H132), ""[A-Z]+"")"),"AM")</f>
        <v>AM</v>
      </c>
      <c r="Q132" s="89" t="str">
        <f aca="false">IFERROR(__xludf.dummyfunction("REGEXEXTRACT(ADDRESS(ROW(), 40+$H132), ""[A-Z]+"")"),"AN")</f>
        <v>AN</v>
      </c>
      <c r="R132" s="89" t="n">
        <f aca="false">IFERROR(__xludf.dummyfunction("IFERROR(QUERY(INDIRECT(""'""&amp;$F132&amp;""'!C3:""&amp;Q132&amp;""""), ""SELECT ""&amp;I132&amp;"", ""&amp;J132&amp;"", ""&amp;K132&amp;"", ""&amp;L132&amp;"", ""&amp;M132&amp;"", ""&amp;N132&amp;"", ""&amp;O132&amp;"", ""&amp;P132&amp;"" WHERE '""&amp;B132&amp;""' CONTAINS D"", 0), """")"),16)</f>
        <v>16</v>
      </c>
      <c r="S132" s="89" t="n">
        <f aca="false">IFERROR(__xludf.dummyfunction("""COMPUTED_VALUE"""),15)</f>
        <v>15</v>
      </c>
      <c r="T132" s="89"/>
      <c r="U132" s="89"/>
      <c r="V132" s="89" t="n">
        <f aca="false">IFERROR(__xludf.dummyfunction("""COMPUTED_VALUE"""),8)</f>
        <v>8</v>
      </c>
      <c r="W132" s="89"/>
      <c r="X132" s="89" t="n">
        <f aca="false">IFERROR(__xludf.dummyfunction("""COMPUTED_VALUE"""),27)</f>
        <v>27</v>
      </c>
      <c r="Y132" s="89" t="n">
        <f aca="false">IFERROR(__xludf.dummyfunction("""COMPUTED_VALUE"""),66)</f>
        <v>66</v>
      </c>
    </row>
    <row r="133" customFormat="false" ht="17.9" hidden="false" customHeight="false" outlineLevel="0" collapsed="false">
      <c r="A133" s="85" t="n">
        <v>132</v>
      </c>
      <c r="B133" s="85" t="n">
        <v>466207</v>
      </c>
      <c r="C133" s="86" t="s">
        <v>232</v>
      </c>
      <c r="D133" s="87" t="s">
        <v>130</v>
      </c>
      <c r="E133" s="88" t="str">
        <f aca="false">D133</f>
        <v>P3117</v>
      </c>
      <c r="F133" s="88" t="str">
        <f aca="false">REPLACE(E133, 1, 3, "")</f>
        <v>17</v>
      </c>
      <c r="G133" s="89" t="str">
        <f aca="true">IFERROR(VLOOKUP(B133,INDIRECT("'"&amp;$F133&amp;"'!D3:D"),1,FALSE()), "Not found")</f>
        <v>Not found</v>
      </c>
      <c r="H133" s="89" t="n">
        <f aca="true">INDIRECT("'"&amp;$F133&amp;"'!D1")</f>
        <v>1</v>
      </c>
      <c r="I133" s="89" t="str">
        <f aca="false">IFERROR(__xludf.dummyfunction("REGEXEXTRACT(ADDRESS(ROW(), 19+$H133), ""[A-Z]+"")"),"T")</f>
        <v>T</v>
      </c>
      <c r="J133" s="89" t="str">
        <f aca="false">IFERROR(__xludf.dummyfunction("REGEXEXTRACT(ADDRESS(ROW(), 25+$H133), ""[A-Z]+"")"),"Z")</f>
        <v>Z</v>
      </c>
      <c r="K133" s="89" t="str">
        <f aca="false">IFERROR(__xludf.dummyfunction("REGEXEXTRACT(ADDRESS(ROW(), 27+$H133), ""[A-Z]+"")"),"AB")</f>
        <v>AB</v>
      </c>
      <c r="L133" s="89" t="str">
        <f aca="false">IFERROR(__xludf.dummyfunction("REGEXEXTRACT(ADDRESS(ROW(), 28+$H133), ""[A-Z]+"")"),"AC")</f>
        <v>AC</v>
      </c>
      <c r="M133" s="89" t="str">
        <f aca="false">IFERROR(__xludf.dummyfunction("REGEXEXTRACT(ADDRESS(ROW(), 34+$H133), ""[A-Z]+"")"),"AI")</f>
        <v>AI</v>
      </c>
      <c r="N133" s="89" t="str">
        <f aca="false">IFERROR(__xludf.dummyfunction("REGEXEXTRACT(ADDRESS(ROW(), 37+$H133), ""[A-Z]+"")"),"AL")</f>
        <v>AL</v>
      </c>
      <c r="O133" s="89" t="str">
        <f aca="false">IFERROR(__xludf.dummyfunction("REGEXEXTRACT(ADDRESS(ROW(), 38+$H133), ""[A-Z]+"")"),"AM")</f>
        <v>AM</v>
      </c>
      <c r="P133" s="89" t="str">
        <f aca="false">IFERROR(__xludf.dummyfunction("REGEXEXTRACT(ADDRESS(ROW(), 39+$H133), ""[A-Z]+"")"),"AN")</f>
        <v>AN</v>
      </c>
      <c r="Q133" s="89" t="str">
        <f aca="false">IFERROR(__xludf.dummyfunction("REGEXEXTRACT(ADDRESS(ROW(), 40+$H133), ""[A-Z]+"")"),"AO")</f>
        <v>AO</v>
      </c>
      <c r="R133" s="89" t="n">
        <f aca="false">IFERROR(__xludf.dummyfunction("IFERROR(QUERY(INDIRECT(""'""&amp;$F133&amp;""'!C3:""&amp;Q133&amp;""""), ""SELECT ""&amp;I133&amp;"", ""&amp;J133&amp;"", ""&amp;K133&amp;"", ""&amp;L133&amp;"", ""&amp;M133&amp;"", ""&amp;N133&amp;"", ""&amp;O133&amp;"", ""&amp;P133&amp;"" WHERE '""&amp;B133&amp;""' CONTAINS D"", 0), """")"),19)</f>
        <v>19</v>
      </c>
      <c r="S133" s="89" t="n">
        <f aca="false">IFERROR(__xludf.dummyfunction("""COMPUTED_VALUE"""),18.5)</f>
        <v>18.5</v>
      </c>
      <c r="T133" s="89"/>
      <c r="U133" s="89"/>
      <c r="V133" s="89" t="n">
        <f aca="false">IFERROR(__xludf.dummyfunction("""COMPUTED_VALUE"""),6)</f>
        <v>6</v>
      </c>
      <c r="W133" s="89"/>
      <c r="X133" s="89" t="n">
        <f aca="false">IFERROR(__xludf.dummyfunction("""COMPUTED_VALUE"""),35)</f>
        <v>35</v>
      </c>
      <c r="Y133" s="89" t="n">
        <f aca="false">IFERROR(__xludf.dummyfunction("""COMPUTED_VALUE"""),78.5)</f>
        <v>78.5</v>
      </c>
    </row>
    <row r="134" customFormat="false" ht="17.9" hidden="false" customHeight="false" outlineLevel="0" collapsed="false">
      <c r="A134" s="85" t="n">
        <v>133</v>
      </c>
      <c r="B134" s="85" t="n">
        <v>466217</v>
      </c>
      <c r="C134" s="86" t="s">
        <v>233</v>
      </c>
      <c r="D134" s="87" t="s">
        <v>100</v>
      </c>
      <c r="E134" s="88" t="str">
        <f aca="false">D134</f>
        <v>P3112</v>
      </c>
      <c r="F134" s="88" t="str">
        <f aca="false">REPLACE(E134, 1, 3, "")</f>
        <v>12</v>
      </c>
      <c r="G134" s="89" t="str">
        <f aca="true">IFERROR(VLOOKUP(B134,INDIRECT("'"&amp;$F134&amp;"'!D3:D"),1,FALSE()), "Not found")</f>
        <v>Not found</v>
      </c>
      <c r="H134" s="89" t="n">
        <f aca="true">INDIRECT("'"&amp;$F134&amp;"'!D1")</f>
        <v>0</v>
      </c>
      <c r="I134" s="89" t="str">
        <f aca="false">IFERROR(__xludf.dummyfunction("REGEXEXTRACT(ADDRESS(ROW(), 19+$H134), ""[A-Z]+"")"),"S")</f>
        <v>S</v>
      </c>
      <c r="J134" s="89" t="str">
        <f aca="false">IFERROR(__xludf.dummyfunction("REGEXEXTRACT(ADDRESS(ROW(), 25+$H134), ""[A-Z]+"")"),"Y")</f>
        <v>Y</v>
      </c>
      <c r="K134" s="89" t="str">
        <f aca="false">IFERROR(__xludf.dummyfunction("REGEXEXTRACT(ADDRESS(ROW(), 27+$H134), ""[A-Z]+"")"),"AA")</f>
        <v>AA</v>
      </c>
      <c r="L134" s="89" t="str">
        <f aca="false">IFERROR(__xludf.dummyfunction("REGEXEXTRACT(ADDRESS(ROW(), 28+$H134), ""[A-Z]+"")"),"AB")</f>
        <v>AB</v>
      </c>
      <c r="M134" s="89" t="str">
        <f aca="false">IFERROR(__xludf.dummyfunction("REGEXEXTRACT(ADDRESS(ROW(), 34+$H134), ""[A-Z]+"")"),"AH")</f>
        <v>AH</v>
      </c>
      <c r="N134" s="89" t="str">
        <f aca="false">IFERROR(__xludf.dummyfunction("REGEXEXTRACT(ADDRESS(ROW(), 37+$H134), ""[A-Z]+"")"),"AK")</f>
        <v>AK</v>
      </c>
      <c r="O134" s="89" t="str">
        <f aca="false">IFERROR(__xludf.dummyfunction("REGEXEXTRACT(ADDRESS(ROW(), 38+$H134), ""[A-Z]+"")"),"AL")</f>
        <v>AL</v>
      </c>
      <c r="P134" s="89" t="str">
        <f aca="false">IFERROR(__xludf.dummyfunction("REGEXEXTRACT(ADDRESS(ROW(), 39+$H134), ""[A-Z]+"")"),"AM")</f>
        <v>AM</v>
      </c>
      <c r="Q134" s="89" t="str">
        <f aca="false">IFERROR(__xludf.dummyfunction("REGEXEXTRACT(ADDRESS(ROW(), 40+$H134), ""[A-Z]+"")"),"AN")</f>
        <v>AN</v>
      </c>
      <c r="R134" s="89" t="n">
        <f aca="false">IFERROR(__xludf.dummyfunction("IFERROR(QUERY(INDIRECT(""'""&amp;$F134&amp;""'!C3:""&amp;Q134&amp;""""), ""SELECT ""&amp;I134&amp;"", ""&amp;J134&amp;"", ""&amp;K134&amp;"", ""&amp;L134&amp;"", ""&amp;M134&amp;"", ""&amp;N134&amp;"", ""&amp;O134&amp;"", ""&amp;P134&amp;"" WHERE '""&amp;B134&amp;""' CONTAINS D"", 0), """")"),18)</f>
        <v>18</v>
      </c>
      <c r="S134" s="89" t="n">
        <f aca="false">IFERROR(__xludf.dummyfunction("""COMPUTED_VALUE"""),20)</f>
        <v>20</v>
      </c>
      <c r="T134" s="89"/>
      <c r="U134" s="89"/>
      <c r="V134" s="89" t="n">
        <f aca="false">IFERROR(__xludf.dummyfunction("""COMPUTED_VALUE"""),9)</f>
        <v>9</v>
      </c>
      <c r="W134" s="89"/>
      <c r="X134" s="89" t="n">
        <f aca="false">IFERROR(__xludf.dummyfunction("""COMPUTED_VALUE"""),40)</f>
        <v>40</v>
      </c>
      <c r="Y134" s="89" t="n">
        <f aca="false">IFERROR(__xludf.dummyfunction("""COMPUTED_VALUE"""),87)</f>
        <v>87</v>
      </c>
    </row>
    <row r="135" customFormat="false" ht="17.9" hidden="false" customHeight="false" outlineLevel="0" collapsed="false">
      <c r="A135" s="85" t="n">
        <v>134</v>
      </c>
      <c r="B135" s="85" t="n">
        <v>408809</v>
      </c>
      <c r="C135" s="86" t="s">
        <v>234</v>
      </c>
      <c r="D135" s="87" t="s">
        <v>89</v>
      </c>
      <c r="E135" s="88" t="str">
        <f aca="false">D135</f>
        <v>P3119</v>
      </c>
      <c r="F135" s="88" t="str">
        <f aca="false">REPLACE(E135, 1, 3, "")</f>
        <v>19</v>
      </c>
      <c r="G135" s="89" t="str">
        <f aca="true">IFERROR(VLOOKUP(B135,INDIRECT("'"&amp;$F135&amp;"'!D3:D"),1,FALSE()), "Not found")</f>
        <v>Not found</v>
      </c>
      <c r="H135" s="89" t="n">
        <f aca="true">INDIRECT("'"&amp;$F135&amp;"'!D1")</f>
        <v>0</v>
      </c>
      <c r="I135" s="89" t="str">
        <f aca="false">IFERROR(__xludf.dummyfunction("REGEXEXTRACT(ADDRESS(ROW(), 19+$H135), ""[A-Z]+"")"),"S")</f>
        <v>S</v>
      </c>
      <c r="J135" s="89" t="str">
        <f aca="false">IFERROR(__xludf.dummyfunction("REGEXEXTRACT(ADDRESS(ROW(), 25+$H135), ""[A-Z]+"")"),"Y")</f>
        <v>Y</v>
      </c>
      <c r="K135" s="89" t="str">
        <f aca="false">IFERROR(__xludf.dummyfunction("REGEXEXTRACT(ADDRESS(ROW(), 27+$H135), ""[A-Z]+"")"),"AA")</f>
        <v>AA</v>
      </c>
      <c r="L135" s="89" t="str">
        <f aca="false">IFERROR(__xludf.dummyfunction("REGEXEXTRACT(ADDRESS(ROW(), 28+$H135), ""[A-Z]+"")"),"AB")</f>
        <v>AB</v>
      </c>
      <c r="M135" s="89" t="str">
        <f aca="false">IFERROR(__xludf.dummyfunction("REGEXEXTRACT(ADDRESS(ROW(), 34+$H135), ""[A-Z]+"")"),"AH")</f>
        <v>AH</v>
      </c>
      <c r="N135" s="89" t="str">
        <f aca="false">IFERROR(__xludf.dummyfunction("REGEXEXTRACT(ADDRESS(ROW(), 37+$H135), ""[A-Z]+"")"),"AK")</f>
        <v>AK</v>
      </c>
      <c r="O135" s="89" t="str">
        <f aca="false">IFERROR(__xludf.dummyfunction("REGEXEXTRACT(ADDRESS(ROW(), 38+$H135), ""[A-Z]+"")"),"AL")</f>
        <v>AL</v>
      </c>
      <c r="P135" s="89" t="str">
        <f aca="false">IFERROR(__xludf.dummyfunction("REGEXEXTRACT(ADDRESS(ROW(), 39+$H135), ""[A-Z]+"")"),"AM")</f>
        <v>AM</v>
      </c>
      <c r="Q135" s="89" t="str">
        <f aca="false">IFERROR(__xludf.dummyfunction("REGEXEXTRACT(ADDRESS(ROW(), 40+$H135), ""[A-Z]+"")"),"AN")</f>
        <v>AN</v>
      </c>
      <c r="R135" s="89" t="str">
        <f aca="false">IFERROR(__xludf.dummyfunction("IFERROR(QUERY(INDIRECT(""'""&amp;$F135&amp;""'!C3:""&amp;Q135&amp;""""), ""SELECT ""&amp;I135&amp;"", ""&amp;J135&amp;"", ""&amp;K135&amp;"", ""&amp;L135&amp;"", ""&amp;M135&amp;"", ""&amp;N135&amp;"", ""&amp;O135&amp;"", ""&amp;P135&amp;"" WHERE '""&amp;B135&amp;""' CONTAINS D"", 0), """")"),"")</f>
        <v/>
      </c>
      <c r="S135" s="89"/>
      <c r="T135" s="89"/>
      <c r="U135" s="89"/>
      <c r="V135" s="89" t="n">
        <f aca="false">IFERROR(__xludf.dummyfunction("""COMPUTED_VALUE"""),0)</f>
        <v>0</v>
      </c>
      <c r="W135" s="89"/>
      <c r="X135" s="89"/>
      <c r="Y135" s="89" t="n">
        <f aca="false">IFERROR(__xludf.dummyfunction("""COMPUTED_VALUE"""),0)</f>
        <v>0</v>
      </c>
    </row>
    <row r="136" customFormat="false" ht="17.9" hidden="false" customHeight="false" outlineLevel="0" collapsed="false">
      <c r="A136" s="85" t="n">
        <v>135</v>
      </c>
      <c r="B136" s="85" t="n">
        <v>466221</v>
      </c>
      <c r="C136" s="86" t="s">
        <v>235</v>
      </c>
      <c r="D136" s="87" t="s">
        <v>121</v>
      </c>
      <c r="E136" s="88" t="str">
        <f aca="false">D136</f>
        <v>P3120</v>
      </c>
      <c r="F136" s="88" t="str">
        <f aca="false">REPLACE(E136, 1, 3, "")</f>
        <v>20</v>
      </c>
      <c r="G136" s="89" t="str">
        <f aca="true">IFERROR(VLOOKUP(B136,INDIRECT("'"&amp;$F136&amp;"'!D3:D"),1,FALSE()), "Not found")</f>
        <v>Not found</v>
      </c>
      <c r="H136" s="89" t="n">
        <f aca="true">INDIRECT("'"&amp;$F136&amp;"'!D1")</f>
        <v>5</v>
      </c>
      <c r="I136" s="89" t="str">
        <f aca="false">IFERROR(__xludf.dummyfunction("REGEXEXTRACT(ADDRESS(ROW(), 19+$H136), ""[A-Z]+"")"),"X")</f>
        <v>X</v>
      </c>
      <c r="J136" s="89" t="str">
        <f aca="false">IFERROR(__xludf.dummyfunction("REGEXEXTRACT(ADDRESS(ROW(), 25+$H136), ""[A-Z]+"")"),"AD")</f>
        <v>AD</v>
      </c>
      <c r="K136" s="89" t="str">
        <f aca="false">IFERROR(__xludf.dummyfunction("REGEXEXTRACT(ADDRESS(ROW(), 27+$H136), ""[A-Z]+"")"),"AF")</f>
        <v>AF</v>
      </c>
      <c r="L136" s="89" t="str">
        <f aca="false">IFERROR(__xludf.dummyfunction("REGEXEXTRACT(ADDRESS(ROW(), 28+$H136), ""[A-Z]+"")"),"AG")</f>
        <v>AG</v>
      </c>
      <c r="M136" s="89" t="str">
        <f aca="false">IFERROR(__xludf.dummyfunction("REGEXEXTRACT(ADDRESS(ROW(), 34+$H136), ""[A-Z]+"")"),"AM")</f>
        <v>AM</v>
      </c>
      <c r="N136" s="89" t="str">
        <f aca="false">IFERROR(__xludf.dummyfunction("REGEXEXTRACT(ADDRESS(ROW(), 37+$H136), ""[A-Z]+"")"),"AP")</f>
        <v>AP</v>
      </c>
      <c r="O136" s="89" t="str">
        <f aca="false">IFERROR(__xludf.dummyfunction("REGEXEXTRACT(ADDRESS(ROW(), 38+$H136), ""[A-Z]+"")"),"AQ")</f>
        <v>AQ</v>
      </c>
      <c r="P136" s="89" t="str">
        <f aca="false">IFERROR(__xludf.dummyfunction("REGEXEXTRACT(ADDRESS(ROW(), 39+$H136), ""[A-Z]+"")"),"AR")</f>
        <v>AR</v>
      </c>
      <c r="Q136" s="89" t="str">
        <f aca="false">IFERROR(__xludf.dummyfunction("REGEXEXTRACT(ADDRESS(ROW(), 40+$H136), ""[A-Z]+"")"),"AS")</f>
        <v>AS</v>
      </c>
      <c r="R136" s="89" t="n">
        <f aca="false">IFERROR(__xludf.dummyfunction("IFERROR(QUERY(INDIRECT(""'""&amp;$F136&amp;""'!C3:""&amp;Q136&amp;""""), ""SELECT ""&amp;I136&amp;"", ""&amp;J136&amp;"", ""&amp;K136&amp;"", ""&amp;L136&amp;"", ""&amp;M136&amp;"", ""&amp;N136&amp;"", ""&amp;O136&amp;"", ""&amp;P136&amp;"" WHERE '""&amp;B136&amp;""' CONTAINS D"", 0), """")"),18)</f>
        <v>18</v>
      </c>
      <c r="S136" s="89" t="n">
        <f aca="false">IFERROR(__xludf.dummyfunction("""COMPUTED_VALUE"""),18)</f>
        <v>18</v>
      </c>
      <c r="T136" s="89"/>
      <c r="U136" s="89"/>
      <c r="V136" s="89" t="n">
        <f aca="false">IFERROR(__xludf.dummyfunction("""COMPUTED_VALUE"""),7)</f>
        <v>7</v>
      </c>
      <c r="W136" s="89"/>
      <c r="X136" s="89" t="n">
        <f aca="false">IFERROR(__xludf.dummyfunction("""COMPUTED_VALUE"""),40)</f>
        <v>40</v>
      </c>
      <c r="Y136" s="89" t="n">
        <f aca="false">IFERROR(__xludf.dummyfunction("""COMPUTED_VALUE"""),83)</f>
        <v>83</v>
      </c>
    </row>
    <row r="137" customFormat="false" ht="17.9" hidden="false" customHeight="false" outlineLevel="0" collapsed="false">
      <c r="A137" s="85" t="n">
        <v>136</v>
      </c>
      <c r="B137" s="85" t="n">
        <v>466272</v>
      </c>
      <c r="C137" s="86" t="s">
        <v>236</v>
      </c>
      <c r="D137" s="87" t="s">
        <v>183</v>
      </c>
      <c r="E137" s="88" t="str">
        <f aca="false">D137</f>
        <v>P3107</v>
      </c>
      <c r="F137" s="88" t="str">
        <f aca="false">REPLACE(E137, 1, 3, "")</f>
        <v>07</v>
      </c>
      <c r="G137" s="89" t="str">
        <f aca="true">IFERROR(VLOOKUP(B137,INDIRECT("'"&amp;$F137&amp;"'!D3:D"),1,FALSE()), "Not found")</f>
        <v>Not found</v>
      </c>
      <c r="H137" s="89" t="n">
        <f aca="true">INDIRECT("'"&amp;$F137&amp;"'!D1")</f>
        <v>0</v>
      </c>
      <c r="I137" s="89" t="str">
        <f aca="false">IFERROR(__xludf.dummyfunction("REGEXEXTRACT(ADDRESS(ROW(), 19+$H137), ""[A-Z]+"")"),"S")</f>
        <v>S</v>
      </c>
      <c r="J137" s="89" t="str">
        <f aca="false">IFERROR(__xludf.dummyfunction("REGEXEXTRACT(ADDRESS(ROW(), 25+$H137), ""[A-Z]+"")"),"Y")</f>
        <v>Y</v>
      </c>
      <c r="K137" s="89" t="str">
        <f aca="false">IFERROR(__xludf.dummyfunction("REGEXEXTRACT(ADDRESS(ROW(), 27+$H137), ""[A-Z]+"")"),"AA")</f>
        <v>AA</v>
      </c>
      <c r="L137" s="89" t="str">
        <f aca="false">IFERROR(__xludf.dummyfunction("REGEXEXTRACT(ADDRESS(ROW(), 28+$H137), ""[A-Z]+"")"),"AB")</f>
        <v>AB</v>
      </c>
      <c r="M137" s="89" t="str">
        <f aca="false">IFERROR(__xludf.dummyfunction("REGEXEXTRACT(ADDRESS(ROW(), 34+$H137), ""[A-Z]+"")"),"AH")</f>
        <v>AH</v>
      </c>
      <c r="N137" s="89" t="str">
        <f aca="false">IFERROR(__xludf.dummyfunction("REGEXEXTRACT(ADDRESS(ROW(), 37+$H137), ""[A-Z]+"")"),"AK")</f>
        <v>AK</v>
      </c>
      <c r="O137" s="89" t="str">
        <f aca="false">IFERROR(__xludf.dummyfunction("REGEXEXTRACT(ADDRESS(ROW(), 38+$H137), ""[A-Z]+"")"),"AL")</f>
        <v>AL</v>
      </c>
      <c r="P137" s="89" t="str">
        <f aca="false">IFERROR(__xludf.dummyfunction("REGEXEXTRACT(ADDRESS(ROW(), 39+$H137), ""[A-Z]+"")"),"AM")</f>
        <v>AM</v>
      </c>
      <c r="Q137" s="89" t="str">
        <f aca="false">IFERROR(__xludf.dummyfunction("REGEXEXTRACT(ADDRESS(ROW(), 40+$H137), ""[A-Z]+"")"),"AN")</f>
        <v>AN</v>
      </c>
      <c r="R137" s="89" t="n">
        <f aca="false">IFERROR(__xludf.dummyfunction("IFERROR(QUERY(INDIRECT(""'""&amp;$F137&amp;""'!C3:""&amp;Q137&amp;""""), ""SELECT ""&amp;I137&amp;"", ""&amp;J137&amp;"", ""&amp;K137&amp;"", ""&amp;L137&amp;"", ""&amp;M137&amp;"", ""&amp;N137&amp;"", ""&amp;O137&amp;"", ""&amp;P137&amp;"" WHERE '""&amp;B137&amp;""' CONTAINS D"", 0), """")"),15)</f>
        <v>15</v>
      </c>
      <c r="S137" s="89" t="n">
        <f aca="false">IFERROR(__xludf.dummyfunction("""COMPUTED_VALUE"""),12)</f>
        <v>12</v>
      </c>
      <c r="T137" s="89"/>
      <c r="U137" s="89"/>
      <c r="V137" s="89" t="n">
        <f aca="false">IFERROR(__xludf.dummyfunction("""COMPUTED_VALUE"""),9)</f>
        <v>9</v>
      </c>
      <c r="W137" s="89"/>
      <c r="X137" s="89" t="n">
        <f aca="false">IFERROR(__xludf.dummyfunction("""COMPUTED_VALUE"""),40)</f>
        <v>40</v>
      </c>
      <c r="Y137" s="89" t="n">
        <f aca="false">IFERROR(__xludf.dummyfunction("""COMPUTED_VALUE"""),76)</f>
        <v>76</v>
      </c>
    </row>
    <row r="138" customFormat="false" ht="17.9" hidden="false" customHeight="false" outlineLevel="0" collapsed="false">
      <c r="A138" s="85" t="n">
        <v>137</v>
      </c>
      <c r="B138" s="85" t="n">
        <v>466273</v>
      </c>
      <c r="C138" s="86" t="s">
        <v>237</v>
      </c>
      <c r="D138" s="87" t="s">
        <v>81</v>
      </c>
      <c r="E138" s="88" t="str">
        <f aca="false">D138</f>
        <v>P3108</v>
      </c>
      <c r="F138" s="88" t="str">
        <f aca="false">REPLACE(E138, 1, 3, "")</f>
        <v>08</v>
      </c>
      <c r="G138" s="89" t="str">
        <f aca="true">IFERROR(VLOOKUP(B138,INDIRECT("'"&amp;$F138&amp;"'!D3:D"),1,FALSE()), "Not found")</f>
        <v>Not found</v>
      </c>
      <c r="H138" s="89" t="n">
        <f aca="true">INDIRECT("'"&amp;$F138&amp;"'!D1")</f>
        <v>0</v>
      </c>
      <c r="I138" s="89" t="str">
        <f aca="false">IFERROR(__xludf.dummyfunction("REGEXEXTRACT(ADDRESS(ROW(), 19+$H138), ""[A-Z]+"")"),"S")</f>
        <v>S</v>
      </c>
      <c r="J138" s="89" t="str">
        <f aca="false">IFERROR(__xludf.dummyfunction("REGEXEXTRACT(ADDRESS(ROW(), 25+$H138), ""[A-Z]+"")"),"Y")</f>
        <v>Y</v>
      </c>
      <c r="K138" s="89" t="str">
        <f aca="false">IFERROR(__xludf.dummyfunction("REGEXEXTRACT(ADDRESS(ROW(), 27+$H138), ""[A-Z]+"")"),"AA")</f>
        <v>AA</v>
      </c>
      <c r="L138" s="89" t="str">
        <f aca="false">IFERROR(__xludf.dummyfunction("REGEXEXTRACT(ADDRESS(ROW(), 28+$H138), ""[A-Z]+"")"),"AB")</f>
        <v>AB</v>
      </c>
      <c r="M138" s="89" t="str">
        <f aca="false">IFERROR(__xludf.dummyfunction("REGEXEXTRACT(ADDRESS(ROW(), 34+$H138), ""[A-Z]+"")"),"AH")</f>
        <v>AH</v>
      </c>
      <c r="N138" s="89" t="str">
        <f aca="false">IFERROR(__xludf.dummyfunction("REGEXEXTRACT(ADDRESS(ROW(), 37+$H138), ""[A-Z]+"")"),"AK")</f>
        <v>AK</v>
      </c>
      <c r="O138" s="89" t="str">
        <f aca="false">IFERROR(__xludf.dummyfunction("REGEXEXTRACT(ADDRESS(ROW(), 38+$H138), ""[A-Z]+"")"),"AL")</f>
        <v>AL</v>
      </c>
      <c r="P138" s="89" t="str">
        <f aca="false">IFERROR(__xludf.dummyfunction("REGEXEXTRACT(ADDRESS(ROW(), 39+$H138), ""[A-Z]+"")"),"AM")</f>
        <v>AM</v>
      </c>
      <c r="Q138" s="89" t="str">
        <f aca="false">IFERROR(__xludf.dummyfunction("REGEXEXTRACT(ADDRESS(ROW(), 40+$H138), ""[A-Z]+"")"),"AN")</f>
        <v>AN</v>
      </c>
      <c r="R138" s="89" t="n">
        <f aca="false">IFERROR(__xludf.dummyfunction("IFERROR(QUERY(INDIRECT(""'""&amp;$F138&amp;""'!C3:""&amp;Q138&amp;""""), ""SELECT ""&amp;I138&amp;"", ""&amp;J138&amp;"", ""&amp;K138&amp;"", ""&amp;L138&amp;"", ""&amp;M138&amp;"", ""&amp;N138&amp;"", ""&amp;O138&amp;"", ""&amp;P138&amp;"" WHERE '""&amp;B138&amp;""' CONTAINS D"", 0), """")"),20)</f>
        <v>20</v>
      </c>
      <c r="S138" s="89" t="n">
        <f aca="false">IFERROR(__xludf.dummyfunction("""COMPUTED_VALUE"""),20)</f>
        <v>20</v>
      </c>
      <c r="T138" s="89"/>
      <c r="U138" s="89"/>
      <c r="V138" s="89" t="n">
        <f aca="false">IFERROR(__xludf.dummyfunction("""COMPUTED_VALUE"""),6)</f>
        <v>6</v>
      </c>
      <c r="W138" s="89"/>
      <c r="X138" s="89" t="n">
        <f aca="false">IFERROR(__xludf.dummyfunction("""COMPUTED_VALUE"""),40)</f>
        <v>40</v>
      </c>
      <c r="Y138" s="89" t="n">
        <f aca="false">IFERROR(__xludf.dummyfunction("""COMPUTED_VALUE"""),86)</f>
        <v>86</v>
      </c>
    </row>
    <row r="139" customFormat="false" ht="17.9" hidden="false" customHeight="false" outlineLevel="0" collapsed="false">
      <c r="A139" s="85" t="n">
        <v>138</v>
      </c>
      <c r="B139" s="85" t="n">
        <v>466279</v>
      </c>
      <c r="C139" s="86" t="s">
        <v>238</v>
      </c>
      <c r="D139" s="87" t="s">
        <v>139</v>
      </c>
      <c r="E139" s="88" t="str">
        <f aca="false">D139</f>
        <v>P3118</v>
      </c>
      <c r="F139" s="88" t="str">
        <f aca="false">REPLACE(E139, 1, 3, "")</f>
        <v>18</v>
      </c>
      <c r="G139" s="89" t="str">
        <f aca="true">IFERROR(VLOOKUP(B139,INDIRECT("'"&amp;$F139&amp;"'!D3:D"),1,FALSE()), "Not found")</f>
        <v>Not found</v>
      </c>
      <c r="H139" s="89" t="n">
        <f aca="true">INDIRECT("'"&amp;$F139&amp;"'!D1")</f>
        <v>0</v>
      </c>
      <c r="I139" s="89" t="str">
        <f aca="false">IFERROR(__xludf.dummyfunction("REGEXEXTRACT(ADDRESS(ROW(), 19+$H139), ""[A-Z]+"")"),"S")</f>
        <v>S</v>
      </c>
      <c r="J139" s="89" t="str">
        <f aca="false">IFERROR(__xludf.dummyfunction("REGEXEXTRACT(ADDRESS(ROW(), 25+$H139), ""[A-Z]+"")"),"Y")</f>
        <v>Y</v>
      </c>
      <c r="K139" s="89" t="str">
        <f aca="false">IFERROR(__xludf.dummyfunction("REGEXEXTRACT(ADDRESS(ROW(), 27+$H139), ""[A-Z]+"")"),"AA")</f>
        <v>AA</v>
      </c>
      <c r="L139" s="89" t="str">
        <f aca="false">IFERROR(__xludf.dummyfunction("REGEXEXTRACT(ADDRESS(ROW(), 28+$H139), ""[A-Z]+"")"),"AB")</f>
        <v>AB</v>
      </c>
      <c r="M139" s="89" t="str">
        <f aca="false">IFERROR(__xludf.dummyfunction("REGEXEXTRACT(ADDRESS(ROW(), 34+$H139), ""[A-Z]+"")"),"AH")</f>
        <v>AH</v>
      </c>
      <c r="N139" s="89" t="str">
        <f aca="false">IFERROR(__xludf.dummyfunction("REGEXEXTRACT(ADDRESS(ROW(), 37+$H139), ""[A-Z]+"")"),"AK")</f>
        <v>AK</v>
      </c>
      <c r="O139" s="89" t="str">
        <f aca="false">IFERROR(__xludf.dummyfunction("REGEXEXTRACT(ADDRESS(ROW(), 38+$H139), ""[A-Z]+"")"),"AL")</f>
        <v>AL</v>
      </c>
      <c r="P139" s="89" t="str">
        <f aca="false">IFERROR(__xludf.dummyfunction("REGEXEXTRACT(ADDRESS(ROW(), 39+$H139), ""[A-Z]+"")"),"AM")</f>
        <v>AM</v>
      </c>
      <c r="Q139" s="89" t="str">
        <f aca="false">IFERROR(__xludf.dummyfunction("REGEXEXTRACT(ADDRESS(ROW(), 40+$H139), ""[A-Z]+"")"),"AN")</f>
        <v>AN</v>
      </c>
      <c r="R139" s="89" t="n">
        <f aca="false">IFERROR(__xludf.dummyfunction("IFERROR(QUERY(INDIRECT(""'""&amp;$F139&amp;""'!C3:""&amp;Q139&amp;""""), ""SELECT ""&amp;I139&amp;"", ""&amp;J139&amp;"", ""&amp;K139&amp;"", ""&amp;L139&amp;"", ""&amp;M139&amp;"", ""&amp;N139&amp;"", ""&amp;O139&amp;"", ""&amp;P139&amp;"" WHERE '""&amp;B139&amp;""' CONTAINS D"", 0), """")"),19.7)</f>
        <v>19.7</v>
      </c>
      <c r="S139" s="89" t="n">
        <f aca="false">IFERROR(__xludf.dummyfunction("""COMPUTED_VALUE"""),19.8)</f>
        <v>19.8</v>
      </c>
      <c r="T139" s="89"/>
      <c r="U139" s="89"/>
      <c r="V139" s="89" t="n">
        <f aca="false">IFERROR(__xludf.dummyfunction("""COMPUTED_VALUE"""),9.6)</f>
        <v>9.6</v>
      </c>
      <c r="W139" s="89"/>
      <c r="X139" s="89" t="n">
        <f aca="false">IFERROR(__xludf.dummyfunction("""COMPUTED_VALUE"""),39)</f>
        <v>39</v>
      </c>
      <c r="Y139" s="89" t="n">
        <f aca="false">IFERROR(__xludf.dummyfunction("""COMPUTED_VALUE"""),88.1)</f>
        <v>88.1</v>
      </c>
    </row>
    <row r="140" customFormat="false" ht="17.9" hidden="false" customHeight="false" outlineLevel="0" collapsed="false">
      <c r="A140" s="85" t="n">
        <v>139</v>
      </c>
      <c r="B140" s="85" t="n">
        <v>466280</v>
      </c>
      <c r="C140" s="86" t="s">
        <v>239</v>
      </c>
      <c r="D140" s="87" t="s">
        <v>127</v>
      </c>
      <c r="E140" s="88" t="str">
        <f aca="false">D140</f>
        <v>P3131</v>
      </c>
      <c r="F140" s="88" t="str">
        <f aca="false">REPLACE(E140, 1, 3, "")</f>
        <v>31</v>
      </c>
      <c r="G140" s="89" t="str">
        <f aca="true">IFERROR(VLOOKUP(B140,INDIRECT("'"&amp;$F140&amp;"'!D3:D"),1,FALSE()), "Not found")</f>
        <v>Not found</v>
      </c>
      <c r="H140" s="89" t="n">
        <f aca="true">INDIRECT("'"&amp;$F140&amp;"'!D1")</f>
        <v>0</v>
      </c>
      <c r="I140" s="89" t="str">
        <f aca="false">IFERROR(__xludf.dummyfunction("REGEXEXTRACT(ADDRESS(ROW(), 19+$H140), ""[A-Z]+"")"),"S")</f>
        <v>S</v>
      </c>
      <c r="J140" s="89" t="str">
        <f aca="false">IFERROR(__xludf.dummyfunction("REGEXEXTRACT(ADDRESS(ROW(), 25+$H140), ""[A-Z]+"")"),"Y")</f>
        <v>Y</v>
      </c>
      <c r="K140" s="89" t="str">
        <f aca="false">IFERROR(__xludf.dummyfunction("REGEXEXTRACT(ADDRESS(ROW(), 27+$H140), ""[A-Z]+"")"),"AA")</f>
        <v>AA</v>
      </c>
      <c r="L140" s="89" t="str">
        <f aca="false">IFERROR(__xludf.dummyfunction("REGEXEXTRACT(ADDRESS(ROW(), 28+$H140), ""[A-Z]+"")"),"AB")</f>
        <v>AB</v>
      </c>
      <c r="M140" s="89" t="str">
        <f aca="false">IFERROR(__xludf.dummyfunction("REGEXEXTRACT(ADDRESS(ROW(), 34+$H140), ""[A-Z]+"")"),"AH")</f>
        <v>AH</v>
      </c>
      <c r="N140" s="89" t="str">
        <f aca="false">IFERROR(__xludf.dummyfunction("REGEXEXTRACT(ADDRESS(ROW(), 37+$H140), ""[A-Z]+"")"),"AK")</f>
        <v>AK</v>
      </c>
      <c r="O140" s="89" t="str">
        <f aca="false">IFERROR(__xludf.dummyfunction("REGEXEXTRACT(ADDRESS(ROW(), 38+$H140), ""[A-Z]+"")"),"AL")</f>
        <v>AL</v>
      </c>
      <c r="P140" s="89" t="str">
        <f aca="false">IFERROR(__xludf.dummyfunction("REGEXEXTRACT(ADDRESS(ROW(), 39+$H140), ""[A-Z]+"")"),"AM")</f>
        <v>AM</v>
      </c>
      <c r="Q140" s="89" t="str">
        <f aca="false">IFERROR(__xludf.dummyfunction("REGEXEXTRACT(ADDRESS(ROW(), 40+$H140), ""[A-Z]+"")"),"AN")</f>
        <v>AN</v>
      </c>
      <c r="R140" s="89" t="n">
        <f aca="false">IFERROR(__xludf.dummyfunction("IFERROR(QUERY(INDIRECT(""'""&amp;$F140&amp;""'!C3:""&amp;Q140&amp;""""), ""SELECT ""&amp;I140&amp;"", ""&amp;J140&amp;"", ""&amp;K140&amp;"", ""&amp;L140&amp;"", ""&amp;M140&amp;"", ""&amp;N140&amp;"", ""&amp;O140&amp;"", ""&amp;P140&amp;"" WHERE '""&amp;B140&amp;""' CONTAINS D"", 0), """")"),18)</f>
        <v>18</v>
      </c>
      <c r="S140" s="89" t="n">
        <f aca="false">IFERROR(__xludf.dummyfunction("""COMPUTED_VALUE"""),17)</f>
        <v>17</v>
      </c>
      <c r="T140" s="89"/>
      <c r="U140" s="89"/>
      <c r="V140" s="89" t="n">
        <f aca="false">IFERROR(__xludf.dummyfunction("""COMPUTED_VALUE"""),6)</f>
        <v>6</v>
      </c>
      <c r="W140" s="89"/>
      <c r="X140" s="89" t="n">
        <f aca="false">IFERROR(__xludf.dummyfunction("""COMPUTED_VALUE"""),40)</f>
        <v>40</v>
      </c>
      <c r="Y140" s="89" t="n">
        <f aca="false">IFERROR(__xludf.dummyfunction("""COMPUTED_VALUE"""),81)</f>
        <v>81</v>
      </c>
    </row>
    <row r="141" customFormat="false" ht="17.9" hidden="false" customHeight="false" outlineLevel="0" collapsed="false">
      <c r="A141" s="85" t="n">
        <v>140</v>
      </c>
      <c r="B141" s="85" t="n">
        <v>466287</v>
      </c>
      <c r="C141" s="86" t="s">
        <v>240</v>
      </c>
      <c r="D141" s="87" t="s">
        <v>146</v>
      </c>
      <c r="E141" s="88" t="str">
        <f aca="false">D141</f>
        <v>P3113</v>
      </c>
      <c r="F141" s="88" t="str">
        <f aca="false">REPLACE(E141, 1, 3, "")</f>
        <v>13</v>
      </c>
      <c r="G141" s="89" t="str">
        <f aca="true">IFERROR(VLOOKUP(B141,INDIRECT("'"&amp;$F141&amp;"'!D3:D"),1,FALSE()), "Not found")</f>
        <v>Not found</v>
      </c>
      <c r="H141" s="89" t="n">
        <f aca="true">INDIRECT("'"&amp;$F141&amp;"'!D1")</f>
        <v>0</v>
      </c>
      <c r="I141" s="89" t="str">
        <f aca="false">IFERROR(__xludf.dummyfunction("REGEXEXTRACT(ADDRESS(ROW(), 19+$H141), ""[A-Z]+"")"),"S")</f>
        <v>S</v>
      </c>
      <c r="J141" s="89" t="str">
        <f aca="false">IFERROR(__xludf.dummyfunction("REGEXEXTRACT(ADDRESS(ROW(), 25+$H141), ""[A-Z]+"")"),"Y")</f>
        <v>Y</v>
      </c>
      <c r="K141" s="89" t="str">
        <f aca="false">IFERROR(__xludf.dummyfunction("REGEXEXTRACT(ADDRESS(ROW(), 27+$H141), ""[A-Z]+"")"),"AA")</f>
        <v>AA</v>
      </c>
      <c r="L141" s="89" t="str">
        <f aca="false">IFERROR(__xludf.dummyfunction("REGEXEXTRACT(ADDRESS(ROW(), 28+$H141), ""[A-Z]+"")"),"AB")</f>
        <v>AB</v>
      </c>
      <c r="M141" s="89" t="str">
        <f aca="false">IFERROR(__xludf.dummyfunction("REGEXEXTRACT(ADDRESS(ROW(), 34+$H141), ""[A-Z]+"")"),"AH")</f>
        <v>AH</v>
      </c>
      <c r="N141" s="89" t="str">
        <f aca="false">IFERROR(__xludf.dummyfunction("REGEXEXTRACT(ADDRESS(ROW(), 37+$H141), ""[A-Z]+"")"),"AK")</f>
        <v>AK</v>
      </c>
      <c r="O141" s="89" t="str">
        <f aca="false">IFERROR(__xludf.dummyfunction("REGEXEXTRACT(ADDRESS(ROW(), 38+$H141), ""[A-Z]+"")"),"AL")</f>
        <v>AL</v>
      </c>
      <c r="P141" s="89" t="str">
        <f aca="false">IFERROR(__xludf.dummyfunction("REGEXEXTRACT(ADDRESS(ROW(), 39+$H141), ""[A-Z]+"")"),"AM")</f>
        <v>AM</v>
      </c>
      <c r="Q141" s="89" t="str">
        <f aca="false">IFERROR(__xludf.dummyfunction("REGEXEXTRACT(ADDRESS(ROW(), 40+$H141), ""[A-Z]+"")"),"AN")</f>
        <v>AN</v>
      </c>
      <c r="R141" s="89" t="n">
        <f aca="false">IFERROR(__xludf.dummyfunction("IFERROR(QUERY(INDIRECT(""'""&amp;$F141&amp;""'!C3:""&amp;Q141&amp;""""), ""SELECT ""&amp;I141&amp;"", ""&amp;J141&amp;"", ""&amp;K141&amp;"", ""&amp;L141&amp;"", ""&amp;M141&amp;"", ""&amp;N141&amp;"", ""&amp;O141&amp;"", ""&amp;P141&amp;"" WHERE '""&amp;B141&amp;""' CONTAINS D"", 0), """")"),17)</f>
        <v>17</v>
      </c>
      <c r="S141" s="89" t="n">
        <f aca="false">IFERROR(__xludf.dummyfunction("""COMPUTED_VALUE"""),16)</f>
        <v>16</v>
      </c>
      <c r="T141" s="89"/>
      <c r="U141" s="89"/>
      <c r="V141" s="89" t="n">
        <f aca="false">IFERROR(__xludf.dummyfunction("""COMPUTED_VALUE"""),6)</f>
        <v>6</v>
      </c>
      <c r="W141" s="89"/>
      <c r="X141" s="89" t="n">
        <f aca="false">IFERROR(__xludf.dummyfunction("""COMPUTED_VALUE"""),31)</f>
        <v>31</v>
      </c>
      <c r="Y141" s="89" t="n">
        <f aca="false">IFERROR(__xludf.dummyfunction("""COMPUTED_VALUE"""),70)</f>
        <v>70</v>
      </c>
    </row>
    <row r="142" customFormat="false" ht="17.9" hidden="false" customHeight="false" outlineLevel="0" collapsed="false">
      <c r="A142" s="85" t="n">
        <v>141</v>
      </c>
      <c r="B142" s="85" t="n">
        <v>466298</v>
      </c>
      <c r="C142" s="86" t="s">
        <v>241</v>
      </c>
      <c r="D142" s="87" t="s">
        <v>85</v>
      </c>
      <c r="E142" s="88" t="str">
        <f aca="false">D142</f>
        <v>P3132</v>
      </c>
      <c r="F142" s="88" t="str">
        <f aca="false">REPLACE(E142, 1, 3, "")</f>
        <v>32</v>
      </c>
      <c r="G142" s="89" t="str">
        <f aca="true">IFERROR(VLOOKUP(B142,INDIRECT("'"&amp;$F142&amp;"'!D3:D"),1,FALSE()), "Not found")</f>
        <v>Not found</v>
      </c>
      <c r="H142" s="89" t="n">
        <f aca="true">INDIRECT("'"&amp;$F142&amp;"'!D1")</f>
        <v>0</v>
      </c>
      <c r="I142" s="89" t="str">
        <f aca="false">IFERROR(__xludf.dummyfunction("REGEXEXTRACT(ADDRESS(ROW(), 19+$H142), ""[A-Z]+"")"),"S")</f>
        <v>S</v>
      </c>
      <c r="J142" s="89" t="str">
        <f aca="false">IFERROR(__xludf.dummyfunction("REGEXEXTRACT(ADDRESS(ROW(), 25+$H142), ""[A-Z]+"")"),"Y")</f>
        <v>Y</v>
      </c>
      <c r="K142" s="89" t="str">
        <f aca="false">IFERROR(__xludf.dummyfunction("REGEXEXTRACT(ADDRESS(ROW(), 27+$H142), ""[A-Z]+"")"),"AA")</f>
        <v>AA</v>
      </c>
      <c r="L142" s="89" t="str">
        <f aca="false">IFERROR(__xludf.dummyfunction("REGEXEXTRACT(ADDRESS(ROW(), 28+$H142), ""[A-Z]+"")"),"AB")</f>
        <v>AB</v>
      </c>
      <c r="M142" s="89" t="str">
        <f aca="false">IFERROR(__xludf.dummyfunction("REGEXEXTRACT(ADDRESS(ROW(), 34+$H142), ""[A-Z]+"")"),"AH")</f>
        <v>AH</v>
      </c>
      <c r="N142" s="89" t="str">
        <f aca="false">IFERROR(__xludf.dummyfunction("REGEXEXTRACT(ADDRESS(ROW(), 37+$H142), ""[A-Z]+"")"),"AK")</f>
        <v>AK</v>
      </c>
      <c r="O142" s="89" t="str">
        <f aca="false">IFERROR(__xludf.dummyfunction("REGEXEXTRACT(ADDRESS(ROW(), 38+$H142), ""[A-Z]+"")"),"AL")</f>
        <v>AL</v>
      </c>
      <c r="P142" s="89" t="str">
        <f aca="false">IFERROR(__xludf.dummyfunction("REGEXEXTRACT(ADDRESS(ROW(), 39+$H142), ""[A-Z]+"")"),"AM")</f>
        <v>AM</v>
      </c>
      <c r="Q142" s="89" t="str">
        <f aca="false">IFERROR(__xludf.dummyfunction("REGEXEXTRACT(ADDRESS(ROW(), 40+$H142), ""[A-Z]+"")"),"AN")</f>
        <v>AN</v>
      </c>
      <c r="R142" s="89" t="n">
        <f aca="false">IFERROR(__xludf.dummyfunction("IFERROR(QUERY(INDIRECT(""'""&amp;$F142&amp;""'!C3:""&amp;Q142&amp;""""), ""SELECT ""&amp;I142&amp;"", ""&amp;J142&amp;"", ""&amp;K142&amp;"", ""&amp;L142&amp;"", ""&amp;M142&amp;"", ""&amp;N142&amp;"", ""&amp;O142&amp;"", ""&amp;P142&amp;"" WHERE '""&amp;B142&amp;""' CONTAINS D"", 0), """")"),18)</f>
        <v>18</v>
      </c>
      <c r="S142" s="89" t="n">
        <f aca="false">IFERROR(__xludf.dummyfunction("""COMPUTED_VALUE"""),17)</f>
        <v>17</v>
      </c>
      <c r="T142" s="89"/>
      <c r="U142" s="89"/>
      <c r="V142" s="89" t="n">
        <f aca="false">IFERROR(__xludf.dummyfunction("""COMPUTED_VALUE"""),6)</f>
        <v>6</v>
      </c>
      <c r="W142" s="89"/>
      <c r="X142" s="89" t="n">
        <f aca="false">IFERROR(__xludf.dummyfunction("""COMPUTED_VALUE"""),40)</f>
        <v>40</v>
      </c>
      <c r="Y142" s="89" t="n">
        <f aca="false">IFERROR(__xludf.dummyfunction("""COMPUTED_VALUE"""),81)</f>
        <v>81</v>
      </c>
    </row>
    <row r="143" customFormat="false" ht="17.9" hidden="false" customHeight="false" outlineLevel="0" collapsed="false">
      <c r="A143" s="85" t="n">
        <v>142</v>
      </c>
      <c r="B143" s="85" t="n">
        <v>466300</v>
      </c>
      <c r="C143" s="86" t="s">
        <v>242</v>
      </c>
      <c r="D143" s="87" t="s">
        <v>89</v>
      </c>
      <c r="E143" s="88" t="str">
        <f aca="false">D143</f>
        <v>P3119</v>
      </c>
      <c r="F143" s="88" t="str">
        <f aca="false">REPLACE(E143, 1, 3, "")</f>
        <v>19</v>
      </c>
      <c r="G143" s="89" t="str">
        <f aca="true">IFERROR(VLOOKUP(B143,INDIRECT("'"&amp;$F143&amp;"'!D3:D"),1,FALSE()), "Not found")</f>
        <v>Not found</v>
      </c>
      <c r="H143" s="89" t="n">
        <f aca="true">INDIRECT("'"&amp;$F143&amp;"'!D1")</f>
        <v>0</v>
      </c>
      <c r="I143" s="89" t="str">
        <f aca="false">IFERROR(__xludf.dummyfunction("REGEXEXTRACT(ADDRESS(ROW(), 19+$H143), ""[A-Z]+"")"),"S")</f>
        <v>S</v>
      </c>
      <c r="J143" s="89" t="str">
        <f aca="false">IFERROR(__xludf.dummyfunction("REGEXEXTRACT(ADDRESS(ROW(), 25+$H143), ""[A-Z]+"")"),"Y")</f>
        <v>Y</v>
      </c>
      <c r="K143" s="89" t="str">
        <f aca="false">IFERROR(__xludf.dummyfunction("REGEXEXTRACT(ADDRESS(ROW(), 27+$H143), ""[A-Z]+"")"),"AA")</f>
        <v>AA</v>
      </c>
      <c r="L143" s="89" t="str">
        <f aca="false">IFERROR(__xludf.dummyfunction("REGEXEXTRACT(ADDRESS(ROW(), 28+$H143), ""[A-Z]+"")"),"AB")</f>
        <v>AB</v>
      </c>
      <c r="M143" s="89" t="str">
        <f aca="false">IFERROR(__xludf.dummyfunction("REGEXEXTRACT(ADDRESS(ROW(), 34+$H143), ""[A-Z]+"")"),"AH")</f>
        <v>AH</v>
      </c>
      <c r="N143" s="89" t="str">
        <f aca="false">IFERROR(__xludf.dummyfunction("REGEXEXTRACT(ADDRESS(ROW(), 37+$H143), ""[A-Z]+"")"),"AK")</f>
        <v>AK</v>
      </c>
      <c r="O143" s="89" t="str">
        <f aca="false">IFERROR(__xludf.dummyfunction("REGEXEXTRACT(ADDRESS(ROW(), 38+$H143), ""[A-Z]+"")"),"AL")</f>
        <v>AL</v>
      </c>
      <c r="P143" s="89" t="str">
        <f aca="false">IFERROR(__xludf.dummyfunction("REGEXEXTRACT(ADDRESS(ROW(), 39+$H143), ""[A-Z]+"")"),"AM")</f>
        <v>AM</v>
      </c>
      <c r="Q143" s="89" t="str">
        <f aca="false">IFERROR(__xludf.dummyfunction("REGEXEXTRACT(ADDRESS(ROW(), 40+$H143), ""[A-Z]+"")"),"AN")</f>
        <v>AN</v>
      </c>
      <c r="R143" s="89" t="n">
        <f aca="false">IFERROR(__xludf.dummyfunction("IFERROR(QUERY(INDIRECT(""'""&amp;$F143&amp;""'!C3:""&amp;Q143&amp;""""), ""SELECT ""&amp;I143&amp;"", ""&amp;J143&amp;"", ""&amp;K143&amp;"", ""&amp;L143&amp;"", ""&amp;M143&amp;"", ""&amp;N143&amp;"", ""&amp;O143&amp;"", ""&amp;P143&amp;"" WHERE '""&amp;B143&amp;""' CONTAINS D"", 0), """")"),18)</f>
        <v>18</v>
      </c>
      <c r="S143" s="89" t="n">
        <f aca="false">IFERROR(__xludf.dummyfunction("""COMPUTED_VALUE"""),12)</f>
        <v>12</v>
      </c>
      <c r="T143" s="89"/>
      <c r="U143" s="89"/>
      <c r="V143" s="89" t="n">
        <f aca="false">IFERROR(__xludf.dummyfunction("""COMPUTED_VALUE"""),8)</f>
        <v>8</v>
      </c>
      <c r="W143" s="89"/>
      <c r="X143" s="89" t="n">
        <f aca="false">IFERROR(__xludf.dummyfunction("""COMPUTED_VALUE"""),30)</f>
        <v>30</v>
      </c>
      <c r="Y143" s="89" t="n">
        <f aca="false">IFERROR(__xludf.dummyfunction("""COMPUTED_VALUE"""),68)</f>
        <v>68</v>
      </c>
    </row>
    <row r="144" customFormat="false" ht="17.9" hidden="false" customHeight="false" outlineLevel="0" collapsed="false">
      <c r="A144" s="85" t="n">
        <v>143</v>
      </c>
      <c r="B144" s="85" t="n">
        <v>466309</v>
      </c>
      <c r="C144" s="86" t="s">
        <v>243</v>
      </c>
      <c r="D144" s="87" t="s">
        <v>87</v>
      </c>
      <c r="E144" s="88" t="str">
        <f aca="false">D144</f>
        <v>P3130</v>
      </c>
      <c r="F144" s="88" t="str">
        <f aca="false">REPLACE(E144, 1, 3, "")</f>
        <v>30</v>
      </c>
      <c r="G144" s="89" t="str">
        <f aca="true">IFERROR(VLOOKUP(B144,INDIRECT("'"&amp;$F144&amp;"'!D3:D"),1,FALSE()), "Not found")</f>
        <v>Not found</v>
      </c>
      <c r="H144" s="89" t="n">
        <f aca="true">INDIRECT("'"&amp;$F144&amp;"'!D1")</f>
        <v>0</v>
      </c>
      <c r="I144" s="89" t="str">
        <f aca="false">IFERROR(__xludf.dummyfunction("REGEXEXTRACT(ADDRESS(ROW(), 19+$H144), ""[A-Z]+"")"),"S")</f>
        <v>S</v>
      </c>
      <c r="J144" s="89" t="str">
        <f aca="false">IFERROR(__xludf.dummyfunction("REGEXEXTRACT(ADDRESS(ROW(), 25+$H144), ""[A-Z]+"")"),"Y")</f>
        <v>Y</v>
      </c>
      <c r="K144" s="89" t="str">
        <f aca="false">IFERROR(__xludf.dummyfunction("REGEXEXTRACT(ADDRESS(ROW(), 27+$H144), ""[A-Z]+"")"),"AA")</f>
        <v>AA</v>
      </c>
      <c r="L144" s="89" t="str">
        <f aca="false">IFERROR(__xludf.dummyfunction("REGEXEXTRACT(ADDRESS(ROW(), 28+$H144), ""[A-Z]+"")"),"AB")</f>
        <v>AB</v>
      </c>
      <c r="M144" s="89" t="str">
        <f aca="false">IFERROR(__xludf.dummyfunction("REGEXEXTRACT(ADDRESS(ROW(), 34+$H144), ""[A-Z]+"")"),"AH")</f>
        <v>AH</v>
      </c>
      <c r="N144" s="89" t="str">
        <f aca="false">IFERROR(__xludf.dummyfunction("REGEXEXTRACT(ADDRESS(ROW(), 37+$H144), ""[A-Z]+"")"),"AK")</f>
        <v>AK</v>
      </c>
      <c r="O144" s="89" t="str">
        <f aca="false">IFERROR(__xludf.dummyfunction("REGEXEXTRACT(ADDRESS(ROW(), 38+$H144), ""[A-Z]+"")"),"AL")</f>
        <v>AL</v>
      </c>
      <c r="P144" s="89" t="str">
        <f aca="false">IFERROR(__xludf.dummyfunction("REGEXEXTRACT(ADDRESS(ROW(), 39+$H144), ""[A-Z]+"")"),"AM")</f>
        <v>AM</v>
      </c>
      <c r="Q144" s="89" t="str">
        <f aca="false">IFERROR(__xludf.dummyfunction("REGEXEXTRACT(ADDRESS(ROW(), 40+$H144), ""[A-Z]+"")"),"AN")</f>
        <v>AN</v>
      </c>
      <c r="R144" s="89" t="n">
        <f aca="false">IFERROR(__xludf.dummyfunction("IFERROR(QUERY(INDIRECT(""'""&amp;$F144&amp;""'!C3:""&amp;Q144&amp;""""), ""SELECT ""&amp;I144&amp;"", ""&amp;J144&amp;"", ""&amp;K144&amp;"", ""&amp;L144&amp;"", ""&amp;M144&amp;"", ""&amp;N144&amp;"", ""&amp;O144&amp;"", ""&amp;P144&amp;"" WHERE '""&amp;B144&amp;""' CONTAINS D"", 0), """")"),20)</f>
        <v>20</v>
      </c>
      <c r="S144" s="89" t="n">
        <f aca="false">IFERROR(__xludf.dummyfunction("""COMPUTED_VALUE"""),18)</f>
        <v>18</v>
      </c>
      <c r="T144" s="89"/>
      <c r="U144" s="89"/>
      <c r="V144" s="89" t="n">
        <f aca="false">IFERROR(__xludf.dummyfunction("""COMPUTED_VALUE"""),10)</f>
        <v>10</v>
      </c>
      <c r="W144" s="89"/>
      <c r="X144" s="89" t="n">
        <f aca="false">IFERROR(__xludf.dummyfunction("""COMPUTED_VALUE"""),40)</f>
        <v>40</v>
      </c>
      <c r="Y144" s="89" t="n">
        <f aca="false">IFERROR(__xludf.dummyfunction("""COMPUTED_VALUE"""),88)</f>
        <v>88</v>
      </c>
    </row>
    <row r="145" customFormat="false" ht="17.9" hidden="false" customHeight="false" outlineLevel="0" collapsed="false">
      <c r="A145" s="85" t="n">
        <v>144</v>
      </c>
      <c r="B145" s="85" t="n">
        <v>466310</v>
      </c>
      <c r="C145" s="86" t="s">
        <v>244</v>
      </c>
      <c r="D145" s="87" t="s">
        <v>95</v>
      </c>
      <c r="E145" s="88" t="str">
        <f aca="false">D145</f>
        <v>P3106</v>
      </c>
      <c r="F145" s="88" t="str">
        <f aca="false">REPLACE(E145, 1, 3, "")</f>
        <v>06</v>
      </c>
      <c r="G145" s="89" t="str">
        <f aca="true">IFERROR(VLOOKUP(B145,INDIRECT("'"&amp;$F145&amp;"'!D3:D"),1,FALSE()), "Not found")</f>
        <v>Not found</v>
      </c>
      <c r="H145" s="89" t="n">
        <f aca="true">INDIRECT("'"&amp;$F145&amp;"'!D1")</f>
        <v>0</v>
      </c>
      <c r="I145" s="89" t="str">
        <f aca="false">IFERROR(__xludf.dummyfunction("REGEXEXTRACT(ADDRESS(ROW(), 19+$H145), ""[A-Z]+"")"),"S")</f>
        <v>S</v>
      </c>
      <c r="J145" s="89" t="str">
        <f aca="false">IFERROR(__xludf.dummyfunction("REGEXEXTRACT(ADDRESS(ROW(), 25+$H145), ""[A-Z]+"")"),"Y")</f>
        <v>Y</v>
      </c>
      <c r="K145" s="89" t="str">
        <f aca="false">IFERROR(__xludf.dummyfunction("REGEXEXTRACT(ADDRESS(ROW(), 27+$H145), ""[A-Z]+"")"),"AA")</f>
        <v>AA</v>
      </c>
      <c r="L145" s="89" t="str">
        <f aca="false">IFERROR(__xludf.dummyfunction("REGEXEXTRACT(ADDRESS(ROW(), 28+$H145), ""[A-Z]+"")"),"AB")</f>
        <v>AB</v>
      </c>
      <c r="M145" s="89" t="str">
        <f aca="false">IFERROR(__xludf.dummyfunction("REGEXEXTRACT(ADDRESS(ROW(), 34+$H145), ""[A-Z]+"")"),"AH")</f>
        <v>AH</v>
      </c>
      <c r="N145" s="89" t="str">
        <f aca="false">IFERROR(__xludf.dummyfunction("REGEXEXTRACT(ADDRESS(ROW(), 37+$H145), ""[A-Z]+"")"),"AK")</f>
        <v>AK</v>
      </c>
      <c r="O145" s="89" t="str">
        <f aca="false">IFERROR(__xludf.dummyfunction("REGEXEXTRACT(ADDRESS(ROW(), 38+$H145), ""[A-Z]+"")"),"AL")</f>
        <v>AL</v>
      </c>
      <c r="P145" s="89" t="str">
        <f aca="false">IFERROR(__xludf.dummyfunction("REGEXEXTRACT(ADDRESS(ROW(), 39+$H145), ""[A-Z]+"")"),"AM")</f>
        <v>AM</v>
      </c>
      <c r="Q145" s="89" t="str">
        <f aca="false">IFERROR(__xludf.dummyfunction("REGEXEXTRACT(ADDRESS(ROW(), 40+$H145), ""[A-Z]+"")"),"AN")</f>
        <v>AN</v>
      </c>
      <c r="R145" s="89" t="n">
        <f aca="false">IFERROR(__xludf.dummyfunction("IFERROR(QUERY(INDIRECT(""'""&amp;$F145&amp;""'!C3:""&amp;Q145&amp;""""), ""SELECT ""&amp;I145&amp;"", ""&amp;J145&amp;"", ""&amp;K145&amp;"", ""&amp;L145&amp;"", ""&amp;M145&amp;"", ""&amp;N145&amp;"", ""&amp;O145&amp;"", ""&amp;P145&amp;"" WHERE '""&amp;B145&amp;""' CONTAINS D"", 0), """")"),19)</f>
        <v>19</v>
      </c>
      <c r="S145" s="89" t="n">
        <f aca="false">IFERROR(__xludf.dummyfunction("""COMPUTED_VALUE"""),20)</f>
        <v>20</v>
      </c>
      <c r="T145" s="89"/>
      <c r="U145" s="89"/>
      <c r="V145" s="89" t="n">
        <f aca="false">IFERROR(__xludf.dummyfunction("""COMPUTED_VALUE"""),10)</f>
        <v>10</v>
      </c>
      <c r="W145" s="89" t="n">
        <f aca="false">IFERROR(__xludf.dummyfunction("""COMPUTED_VALUE"""),3)</f>
        <v>3</v>
      </c>
      <c r="X145" s="89" t="n">
        <f aca="false">IFERROR(__xludf.dummyfunction("""COMPUTED_VALUE"""),40)</f>
        <v>40</v>
      </c>
      <c r="Y145" s="89" t="n">
        <f aca="false">IFERROR(__xludf.dummyfunction("""COMPUTED_VALUE"""),92)</f>
        <v>92</v>
      </c>
    </row>
    <row r="146" customFormat="false" ht="17.9" hidden="false" customHeight="false" outlineLevel="0" collapsed="false">
      <c r="A146" s="85" t="n">
        <v>145</v>
      </c>
      <c r="B146" s="85" t="n">
        <v>466316</v>
      </c>
      <c r="C146" s="86" t="s">
        <v>245</v>
      </c>
      <c r="D146" s="87" t="s">
        <v>95</v>
      </c>
      <c r="E146" s="88" t="str">
        <f aca="false">D146</f>
        <v>P3106</v>
      </c>
      <c r="F146" s="88" t="str">
        <f aca="false">REPLACE(E146, 1, 3, "")</f>
        <v>06</v>
      </c>
      <c r="G146" s="89" t="str">
        <f aca="true">IFERROR(VLOOKUP(B146,INDIRECT("'"&amp;$F146&amp;"'!D3:D"),1,FALSE()), "Not found")</f>
        <v>Not found</v>
      </c>
      <c r="H146" s="89" t="n">
        <f aca="true">INDIRECT("'"&amp;$F146&amp;"'!D1")</f>
        <v>0</v>
      </c>
      <c r="I146" s="89" t="str">
        <f aca="false">IFERROR(__xludf.dummyfunction("REGEXEXTRACT(ADDRESS(ROW(), 19+$H146), ""[A-Z]+"")"),"S")</f>
        <v>S</v>
      </c>
      <c r="J146" s="89" t="str">
        <f aca="false">IFERROR(__xludf.dummyfunction("REGEXEXTRACT(ADDRESS(ROW(), 25+$H146), ""[A-Z]+"")"),"Y")</f>
        <v>Y</v>
      </c>
      <c r="K146" s="89" t="str">
        <f aca="false">IFERROR(__xludf.dummyfunction("REGEXEXTRACT(ADDRESS(ROW(), 27+$H146), ""[A-Z]+"")"),"AA")</f>
        <v>AA</v>
      </c>
      <c r="L146" s="89" t="str">
        <f aca="false">IFERROR(__xludf.dummyfunction("REGEXEXTRACT(ADDRESS(ROW(), 28+$H146), ""[A-Z]+"")"),"AB")</f>
        <v>AB</v>
      </c>
      <c r="M146" s="89" t="str">
        <f aca="false">IFERROR(__xludf.dummyfunction("REGEXEXTRACT(ADDRESS(ROW(), 34+$H146), ""[A-Z]+"")"),"AH")</f>
        <v>AH</v>
      </c>
      <c r="N146" s="89" t="str">
        <f aca="false">IFERROR(__xludf.dummyfunction("REGEXEXTRACT(ADDRESS(ROW(), 37+$H146), ""[A-Z]+"")"),"AK")</f>
        <v>AK</v>
      </c>
      <c r="O146" s="89" t="str">
        <f aca="false">IFERROR(__xludf.dummyfunction("REGEXEXTRACT(ADDRESS(ROW(), 38+$H146), ""[A-Z]+"")"),"AL")</f>
        <v>AL</v>
      </c>
      <c r="P146" s="89" t="str">
        <f aca="false">IFERROR(__xludf.dummyfunction("REGEXEXTRACT(ADDRESS(ROW(), 39+$H146), ""[A-Z]+"")"),"AM")</f>
        <v>AM</v>
      </c>
      <c r="Q146" s="89" t="str">
        <f aca="false">IFERROR(__xludf.dummyfunction("REGEXEXTRACT(ADDRESS(ROW(), 40+$H146), ""[A-Z]+"")"),"AN")</f>
        <v>AN</v>
      </c>
      <c r="R146" s="89" t="n">
        <f aca="false">IFERROR(__xludf.dummyfunction("IFERROR(QUERY(INDIRECT(""'""&amp;$F146&amp;""'!C3:""&amp;Q146&amp;""""), ""SELECT ""&amp;I146&amp;"", ""&amp;J146&amp;"", ""&amp;K146&amp;"", ""&amp;L146&amp;"", ""&amp;M146&amp;"", ""&amp;N146&amp;"", ""&amp;O146&amp;"", ""&amp;P146&amp;"" WHERE '""&amp;B146&amp;""' CONTAINS D"", 0), """")"),17)</f>
        <v>17</v>
      </c>
      <c r="S146" s="89" t="n">
        <f aca="false">IFERROR(__xludf.dummyfunction("""COMPUTED_VALUE"""),15)</f>
        <v>15</v>
      </c>
      <c r="T146" s="89"/>
      <c r="U146" s="89"/>
      <c r="V146" s="89" t="n">
        <f aca="false">IFERROR(__xludf.dummyfunction("""COMPUTED_VALUE"""),6)</f>
        <v>6</v>
      </c>
      <c r="W146" s="89"/>
      <c r="X146" s="89" t="n">
        <f aca="false">IFERROR(__xludf.dummyfunction("""COMPUTED_VALUE"""),34)</f>
        <v>34</v>
      </c>
      <c r="Y146" s="89" t="n">
        <f aca="false">IFERROR(__xludf.dummyfunction("""COMPUTED_VALUE"""),72)</f>
        <v>72</v>
      </c>
    </row>
    <row r="147" customFormat="false" ht="17.9" hidden="false" customHeight="false" outlineLevel="0" collapsed="false">
      <c r="A147" s="85" t="n">
        <v>146</v>
      </c>
      <c r="B147" s="85" t="n">
        <v>466329</v>
      </c>
      <c r="C147" s="86" t="s">
        <v>246</v>
      </c>
      <c r="D147" s="87" t="s">
        <v>119</v>
      </c>
      <c r="E147" s="88" t="str">
        <f aca="false">D147</f>
        <v>P3121</v>
      </c>
      <c r="F147" s="88" t="str">
        <f aca="false">REPLACE(E147, 1, 3, "")</f>
        <v>21</v>
      </c>
      <c r="G147" s="89" t="str">
        <f aca="true">IFERROR(VLOOKUP(B147,INDIRECT("'"&amp;$F147&amp;"'!D3:D"),1,FALSE()), "Not found")</f>
        <v>Not found</v>
      </c>
      <c r="H147" s="89" t="n">
        <f aca="true">INDIRECT("'"&amp;$F147&amp;"'!D1")</f>
        <v>5</v>
      </c>
      <c r="I147" s="89" t="str">
        <f aca="false">IFERROR(__xludf.dummyfunction("REGEXEXTRACT(ADDRESS(ROW(), 19+$H147), ""[A-Z]+"")"),"X")</f>
        <v>X</v>
      </c>
      <c r="J147" s="89" t="str">
        <f aca="false">IFERROR(__xludf.dummyfunction("REGEXEXTRACT(ADDRESS(ROW(), 25+$H147), ""[A-Z]+"")"),"AD")</f>
        <v>AD</v>
      </c>
      <c r="K147" s="89" t="str">
        <f aca="false">IFERROR(__xludf.dummyfunction("REGEXEXTRACT(ADDRESS(ROW(), 27+$H147), ""[A-Z]+"")"),"AF")</f>
        <v>AF</v>
      </c>
      <c r="L147" s="89" t="str">
        <f aca="false">IFERROR(__xludf.dummyfunction("REGEXEXTRACT(ADDRESS(ROW(), 28+$H147), ""[A-Z]+"")"),"AG")</f>
        <v>AG</v>
      </c>
      <c r="M147" s="89" t="str">
        <f aca="false">IFERROR(__xludf.dummyfunction("REGEXEXTRACT(ADDRESS(ROW(), 34+$H147), ""[A-Z]+"")"),"AM")</f>
        <v>AM</v>
      </c>
      <c r="N147" s="89" t="str">
        <f aca="false">IFERROR(__xludf.dummyfunction("REGEXEXTRACT(ADDRESS(ROW(), 37+$H147), ""[A-Z]+"")"),"AP")</f>
        <v>AP</v>
      </c>
      <c r="O147" s="89" t="str">
        <f aca="false">IFERROR(__xludf.dummyfunction("REGEXEXTRACT(ADDRESS(ROW(), 38+$H147), ""[A-Z]+"")"),"AQ")</f>
        <v>AQ</v>
      </c>
      <c r="P147" s="89" t="str">
        <f aca="false">IFERROR(__xludf.dummyfunction("REGEXEXTRACT(ADDRESS(ROW(), 39+$H147), ""[A-Z]+"")"),"AR")</f>
        <v>AR</v>
      </c>
      <c r="Q147" s="89" t="str">
        <f aca="false">IFERROR(__xludf.dummyfunction("REGEXEXTRACT(ADDRESS(ROW(), 40+$H147), ""[A-Z]+"")"),"AS")</f>
        <v>AS</v>
      </c>
      <c r="R147" s="89" t="n">
        <f aca="false">IFERROR(__xludf.dummyfunction("IFERROR(QUERY(INDIRECT(""'""&amp;$F147&amp;""'!C3:""&amp;Q147&amp;""""), ""SELECT ""&amp;I147&amp;"", ""&amp;J147&amp;"", ""&amp;K147&amp;"", ""&amp;L147&amp;"", ""&amp;M147&amp;"", ""&amp;N147&amp;"", ""&amp;O147&amp;"", ""&amp;P147&amp;"" WHERE '""&amp;B147&amp;""' CONTAINS D"", 0), """")"),12)</f>
        <v>12</v>
      </c>
      <c r="S147" s="89" t="n">
        <f aca="false">IFERROR(__xludf.dummyfunction("""COMPUTED_VALUE"""),12)</f>
        <v>12</v>
      </c>
      <c r="T147" s="89"/>
      <c r="U147" s="89"/>
      <c r="V147" s="89" t="n">
        <f aca="false">IFERROR(__xludf.dummyfunction("""COMPUTED_VALUE"""),6)</f>
        <v>6</v>
      </c>
      <c r="W147" s="89"/>
      <c r="X147" s="89" t="n">
        <f aca="false">IFERROR(__xludf.dummyfunction("""COMPUTED_VALUE"""),31)</f>
        <v>31</v>
      </c>
      <c r="Y147" s="89" t="n">
        <f aca="false">IFERROR(__xludf.dummyfunction("""COMPUTED_VALUE"""),61)</f>
        <v>61</v>
      </c>
    </row>
    <row r="148" customFormat="false" ht="17.9" hidden="false" customHeight="false" outlineLevel="0" collapsed="false">
      <c r="A148" s="85" t="n">
        <v>147</v>
      </c>
      <c r="B148" s="85" t="n">
        <v>472094</v>
      </c>
      <c r="C148" s="86" t="s">
        <v>247</v>
      </c>
      <c r="D148" s="87" t="s">
        <v>91</v>
      </c>
      <c r="E148" s="88" t="str">
        <f aca="false">D148</f>
        <v>P3111</v>
      </c>
      <c r="F148" s="88" t="str">
        <f aca="false">REPLACE(E148, 1, 3, "")</f>
        <v>11</v>
      </c>
      <c r="G148" s="89" t="str">
        <f aca="true">IFERROR(VLOOKUP(B148,INDIRECT("'"&amp;$F148&amp;"'!D3:D"),1,FALSE()), "Not found")</f>
        <v>Not found</v>
      </c>
      <c r="H148" s="89" t="n">
        <f aca="true">INDIRECT("'"&amp;$F148&amp;"'!D1")</f>
        <v>0</v>
      </c>
      <c r="I148" s="89" t="str">
        <f aca="false">IFERROR(__xludf.dummyfunction("REGEXEXTRACT(ADDRESS(ROW(), 19+$H148), ""[A-Z]+"")"),"S")</f>
        <v>S</v>
      </c>
      <c r="J148" s="89" t="str">
        <f aca="false">IFERROR(__xludf.dummyfunction("REGEXEXTRACT(ADDRESS(ROW(), 25+$H148), ""[A-Z]+"")"),"Y")</f>
        <v>Y</v>
      </c>
      <c r="K148" s="89" t="str">
        <f aca="false">IFERROR(__xludf.dummyfunction("REGEXEXTRACT(ADDRESS(ROW(), 27+$H148), ""[A-Z]+"")"),"AA")</f>
        <v>AA</v>
      </c>
      <c r="L148" s="89" t="str">
        <f aca="false">IFERROR(__xludf.dummyfunction("REGEXEXTRACT(ADDRESS(ROW(), 28+$H148), ""[A-Z]+"")"),"AB")</f>
        <v>AB</v>
      </c>
      <c r="M148" s="89" t="str">
        <f aca="false">IFERROR(__xludf.dummyfunction("REGEXEXTRACT(ADDRESS(ROW(), 34+$H148), ""[A-Z]+"")"),"AH")</f>
        <v>AH</v>
      </c>
      <c r="N148" s="89" t="str">
        <f aca="false">IFERROR(__xludf.dummyfunction("REGEXEXTRACT(ADDRESS(ROW(), 37+$H148), ""[A-Z]+"")"),"AK")</f>
        <v>AK</v>
      </c>
      <c r="O148" s="89" t="str">
        <f aca="false">IFERROR(__xludf.dummyfunction("REGEXEXTRACT(ADDRESS(ROW(), 38+$H148), ""[A-Z]+"")"),"AL")</f>
        <v>AL</v>
      </c>
      <c r="P148" s="89" t="str">
        <f aca="false">IFERROR(__xludf.dummyfunction("REGEXEXTRACT(ADDRESS(ROW(), 39+$H148), ""[A-Z]+"")"),"AM")</f>
        <v>AM</v>
      </c>
      <c r="Q148" s="89" t="str">
        <f aca="false">IFERROR(__xludf.dummyfunction("REGEXEXTRACT(ADDRESS(ROW(), 40+$H148), ""[A-Z]+"")"),"AN")</f>
        <v>AN</v>
      </c>
      <c r="R148" s="89" t="n">
        <f aca="false">IFERROR(__xludf.dummyfunction("IFERROR(QUERY(INDIRECT(""'""&amp;$F148&amp;""'!C3:""&amp;Q148&amp;""""), ""SELECT ""&amp;I148&amp;"", ""&amp;J148&amp;"", ""&amp;K148&amp;"", ""&amp;L148&amp;"", ""&amp;M148&amp;"", ""&amp;N148&amp;"", ""&amp;O148&amp;"", ""&amp;P148&amp;"" WHERE '""&amp;B148&amp;""' CONTAINS D"", 0), """")"),19)</f>
        <v>19</v>
      </c>
      <c r="S148" s="89" t="n">
        <f aca="false">IFERROR(__xludf.dummyfunction("""COMPUTED_VALUE"""),17)</f>
        <v>17</v>
      </c>
      <c r="T148" s="89"/>
      <c r="U148" s="89"/>
      <c r="V148" s="89" t="n">
        <f aca="false">IFERROR(__xludf.dummyfunction("""COMPUTED_VALUE"""),6)</f>
        <v>6</v>
      </c>
      <c r="W148" s="89"/>
      <c r="X148" s="89" t="n">
        <f aca="false">IFERROR(__xludf.dummyfunction("""COMPUTED_VALUE"""),32)</f>
        <v>32</v>
      </c>
      <c r="Y148" s="89" t="n">
        <f aca="false">IFERROR(__xludf.dummyfunction("""COMPUTED_VALUE"""),74)</f>
        <v>74</v>
      </c>
    </row>
    <row r="149" customFormat="false" ht="17.9" hidden="false" customHeight="false" outlineLevel="0" collapsed="false">
      <c r="A149" s="85" t="n">
        <v>148</v>
      </c>
      <c r="B149" s="85" t="n">
        <v>466339</v>
      </c>
      <c r="C149" s="86" t="s">
        <v>248</v>
      </c>
      <c r="D149" s="87" t="s">
        <v>139</v>
      </c>
      <c r="E149" s="88" t="str">
        <f aca="false">D149</f>
        <v>P3118</v>
      </c>
      <c r="F149" s="88" t="str">
        <f aca="false">REPLACE(E149, 1, 3, "")</f>
        <v>18</v>
      </c>
      <c r="G149" s="89" t="str">
        <f aca="true">IFERROR(VLOOKUP(B149,INDIRECT("'"&amp;$F149&amp;"'!D3:D"),1,FALSE()), "Not found")</f>
        <v>Not found</v>
      </c>
      <c r="H149" s="89" t="n">
        <f aca="true">INDIRECT("'"&amp;$F149&amp;"'!D1")</f>
        <v>0</v>
      </c>
      <c r="I149" s="89" t="str">
        <f aca="false">IFERROR(__xludf.dummyfunction("REGEXEXTRACT(ADDRESS(ROW(), 19+$H149), ""[A-Z]+"")"),"S")</f>
        <v>S</v>
      </c>
      <c r="J149" s="89" t="str">
        <f aca="false">IFERROR(__xludf.dummyfunction("REGEXEXTRACT(ADDRESS(ROW(), 25+$H149), ""[A-Z]+"")"),"Y")</f>
        <v>Y</v>
      </c>
      <c r="K149" s="89" t="str">
        <f aca="false">IFERROR(__xludf.dummyfunction("REGEXEXTRACT(ADDRESS(ROW(), 27+$H149), ""[A-Z]+"")"),"AA")</f>
        <v>AA</v>
      </c>
      <c r="L149" s="89" t="str">
        <f aca="false">IFERROR(__xludf.dummyfunction("REGEXEXTRACT(ADDRESS(ROW(), 28+$H149), ""[A-Z]+"")"),"AB")</f>
        <v>AB</v>
      </c>
      <c r="M149" s="89" t="str">
        <f aca="false">IFERROR(__xludf.dummyfunction("REGEXEXTRACT(ADDRESS(ROW(), 34+$H149), ""[A-Z]+"")"),"AH")</f>
        <v>AH</v>
      </c>
      <c r="N149" s="89" t="str">
        <f aca="false">IFERROR(__xludf.dummyfunction("REGEXEXTRACT(ADDRESS(ROW(), 37+$H149), ""[A-Z]+"")"),"AK")</f>
        <v>AK</v>
      </c>
      <c r="O149" s="89" t="str">
        <f aca="false">IFERROR(__xludf.dummyfunction("REGEXEXTRACT(ADDRESS(ROW(), 38+$H149), ""[A-Z]+"")"),"AL")</f>
        <v>AL</v>
      </c>
      <c r="P149" s="89" t="str">
        <f aca="false">IFERROR(__xludf.dummyfunction("REGEXEXTRACT(ADDRESS(ROW(), 39+$H149), ""[A-Z]+"")"),"AM")</f>
        <v>AM</v>
      </c>
      <c r="Q149" s="89" t="str">
        <f aca="false">IFERROR(__xludf.dummyfunction("REGEXEXTRACT(ADDRESS(ROW(), 40+$H149), ""[A-Z]+"")"),"AN")</f>
        <v>AN</v>
      </c>
      <c r="R149" s="89" t="n">
        <f aca="false">IFERROR(__xludf.dummyfunction("IFERROR(QUERY(INDIRECT(""'""&amp;$F149&amp;""'!C3:""&amp;Q149&amp;""""), ""SELECT ""&amp;I149&amp;"", ""&amp;J149&amp;"", ""&amp;K149&amp;"", ""&amp;L149&amp;"", ""&amp;M149&amp;"", ""&amp;N149&amp;"", ""&amp;O149&amp;"", ""&amp;P149&amp;"" WHERE '""&amp;B149&amp;""' CONTAINS D"", 0), """")"),18.3)</f>
        <v>18.3</v>
      </c>
      <c r="S149" s="89" t="n">
        <f aca="false">IFERROR(__xludf.dummyfunction("""COMPUTED_VALUE"""),18.5)</f>
        <v>18.5</v>
      </c>
      <c r="T149" s="89"/>
      <c r="U149" s="89"/>
      <c r="V149" s="89" t="n">
        <f aca="false">IFERROR(__xludf.dummyfunction("""COMPUTED_VALUE"""),6)</f>
        <v>6</v>
      </c>
      <c r="W149" s="89"/>
      <c r="X149" s="89" t="n">
        <f aca="false">IFERROR(__xludf.dummyfunction("""COMPUTED_VALUE"""),35)</f>
        <v>35</v>
      </c>
      <c r="Y149" s="89" t="n">
        <f aca="false">IFERROR(__xludf.dummyfunction("""COMPUTED_VALUE"""),77.8)</f>
        <v>77.8</v>
      </c>
    </row>
    <row r="150" customFormat="false" ht="17.9" hidden="false" customHeight="false" outlineLevel="0" collapsed="false">
      <c r="A150" s="85" t="n">
        <v>149</v>
      </c>
      <c r="B150" s="85" t="n">
        <v>466342</v>
      </c>
      <c r="C150" s="86" t="s">
        <v>249</v>
      </c>
      <c r="D150" s="87" t="s">
        <v>121</v>
      </c>
      <c r="E150" s="88" t="str">
        <f aca="false">D150</f>
        <v>P3120</v>
      </c>
      <c r="F150" s="88" t="str">
        <f aca="false">REPLACE(E150, 1, 3, "")</f>
        <v>20</v>
      </c>
      <c r="G150" s="89" t="str">
        <f aca="true">IFERROR(VLOOKUP(B150,INDIRECT("'"&amp;$F150&amp;"'!D3:D"),1,FALSE()), "Not found")</f>
        <v>Not found</v>
      </c>
      <c r="H150" s="89" t="n">
        <f aca="true">INDIRECT("'"&amp;$F150&amp;"'!D1")</f>
        <v>5</v>
      </c>
      <c r="I150" s="89" t="str">
        <f aca="false">IFERROR(__xludf.dummyfunction("REGEXEXTRACT(ADDRESS(ROW(), 19+$H150), ""[A-Z]+"")"),"X")</f>
        <v>X</v>
      </c>
      <c r="J150" s="89" t="str">
        <f aca="false">IFERROR(__xludf.dummyfunction("REGEXEXTRACT(ADDRESS(ROW(), 25+$H150), ""[A-Z]+"")"),"AD")</f>
        <v>AD</v>
      </c>
      <c r="K150" s="89" t="str">
        <f aca="false">IFERROR(__xludf.dummyfunction("REGEXEXTRACT(ADDRESS(ROW(), 27+$H150), ""[A-Z]+"")"),"AF")</f>
        <v>AF</v>
      </c>
      <c r="L150" s="89" t="str">
        <f aca="false">IFERROR(__xludf.dummyfunction("REGEXEXTRACT(ADDRESS(ROW(), 28+$H150), ""[A-Z]+"")"),"AG")</f>
        <v>AG</v>
      </c>
      <c r="M150" s="89" t="str">
        <f aca="false">IFERROR(__xludf.dummyfunction("REGEXEXTRACT(ADDRESS(ROW(), 34+$H150), ""[A-Z]+"")"),"AM")</f>
        <v>AM</v>
      </c>
      <c r="N150" s="89" t="str">
        <f aca="false">IFERROR(__xludf.dummyfunction("REGEXEXTRACT(ADDRESS(ROW(), 37+$H150), ""[A-Z]+"")"),"AP")</f>
        <v>AP</v>
      </c>
      <c r="O150" s="89" t="str">
        <f aca="false">IFERROR(__xludf.dummyfunction("REGEXEXTRACT(ADDRESS(ROW(), 38+$H150), ""[A-Z]+"")"),"AQ")</f>
        <v>AQ</v>
      </c>
      <c r="P150" s="89" t="str">
        <f aca="false">IFERROR(__xludf.dummyfunction("REGEXEXTRACT(ADDRESS(ROW(), 39+$H150), ""[A-Z]+"")"),"AR")</f>
        <v>AR</v>
      </c>
      <c r="Q150" s="89" t="str">
        <f aca="false">IFERROR(__xludf.dummyfunction("REGEXEXTRACT(ADDRESS(ROW(), 40+$H150), ""[A-Z]+"")"),"AS")</f>
        <v>AS</v>
      </c>
      <c r="R150" s="89" t="n">
        <f aca="false">IFERROR(__xludf.dummyfunction("IFERROR(QUERY(INDIRECT(""'""&amp;$F150&amp;""'!C3:""&amp;Q150&amp;""""), ""SELECT ""&amp;I150&amp;"", ""&amp;J150&amp;"", ""&amp;K150&amp;"", ""&amp;L150&amp;"", ""&amp;M150&amp;"", ""&amp;N150&amp;"", ""&amp;O150&amp;"", ""&amp;P150&amp;"" WHERE '""&amp;B150&amp;""' CONTAINS D"", 0), """")"),19)</f>
        <v>19</v>
      </c>
      <c r="S150" s="89" t="n">
        <f aca="false">IFERROR(__xludf.dummyfunction("""COMPUTED_VALUE"""),18)</f>
        <v>18</v>
      </c>
      <c r="T150" s="89"/>
      <c r="U150" s="89"/>
      <c r="V150" s="89" t="n">
        <f aca="false">IFERROR(__xludf.dummyfunction("""COMPUTED_VALUE"""),7)</f>
        <v>7</v>
      </c>
      <c r="W150" s="89"/>
      <c r="X150" s="89" t="n">
        <f aca="false">IFERROR(__xludf.dummyfunction("""COMPUTED_VALUE"""),38)</f>
        <v>38</v>
      </c>
      <c r="Y150" s="89" t="n">
        <f aca="false">IFERROR(__xludf.dummyfunction("""COMPUTED_VALUE"""),82)</f>
        <v>82</v>
      </c>
    </row>
    <row r="151" customFormat="false" ht="17.9" hidden="false" customHeight="false" outlineLevel="0" collapsed="false">
      <c r="A151" s="85" t="n">
        <v>150</v>
      </c>
      <c r="B151" s="85" t="n">
        <v>466363</v>
      </c>
      <c r="C151" s="86" t="s">
        <v>250</v>
      </c>
      <c r="D151" s="87" t="s">
        <v>91</v>
      </c>
      <c r="E151" s="88" t="str">
        <f aca="false">D151</f>
        <v>P3111</v>
      </c>
      <c r="F151" s="88" t="str">
        <f aca="false">REPLACE(E151, 1, 3, "")</f>
        <v>11</v>
      </c>
      <c r="G151" s="89" t="str">
        <f aca="true">IFERROR(VLOOKUP(B151,INDIRECT("'"&amp;$F151&amp;"'!D3:D"),1,FALSE()), "Not found")</f>
        <v>Not found</v>
      </c>
      <c r="H151" s="89" t="n">
        <f aca="true">INDIRECT("'"&amp;$F151&amp;"'!D1")</f>
        <v>0</v>
      </c>
      <c r="I151" s="89" t="str">
        <f aca="false">IFERROR(__xludf.dummyfunction("REGEXEXTRACT(ADDRESS(ROW(), 19+$H151), ""[A-Z]+"")"),"S")</f>
        <v>S</v>
      </c>
      <c r="J151" s="89" t="str">
        <f aca="false">IFERROR(__xludf.dummyfunction("REGEXEXTRACT(ADDRESS(ROW(), 25+$H151), ""[A-Z]+"")"),"Y")</f>
        <v>Y</v>
      </c>
      <c r="K151" s="89" t="str">
        <f aca="false">IFERROR(__xludf.dummyfunction("REGEXEXTRACT(ADDRESS(ROW(), 27+$H151), ""[A-Z]+"")"),"AA")</f>
        <v>AA</v>
      </c>
      <c r="L151" s="89" t="str">
        <f aca="false">IFERROR(__xludf.dummyfunction("REGEXEXTRACT(ADDRESS(ROW(), 28+$H151), ""[A-Z]+"")"),"AB")</f>
        <v>AB</v>
      </c>
      <c r="M151" s="89" t="str">
        <f aca="false">IFERROR(__xludf.dummyfunction("REGEXEXTRACT(ADDRESS(ROW(), 34+$H151), ""[A-Z]+"")"),"AH")</f>
        <v>AH</v>
      </c>
      <c r="N151" s="89" t="str">
        <f aca="false">IFERROR(__xludf.dummyfunction("REGEXEXTRACT(ADDRESS(ROW(), 37+$H151), ""[A-Z]+"")"),"AK")</f>
        <v>AK</v>
      </c>
      <c r="O151" s="89" t="str">
        <f aca="false">IFERROR(__xludf.dummyfunction("REGEXEXTRACT(ADDRESS(ROW(), 38+$H151), ""[A-Z]+"")"),"AL")</f>
        <v>AL</v>
      </c>
      <c r="P151" s="89" t="str">
        <f aca="false">IFERROR(__xludf.dummyfunction("REGEXEXTRACT(ADDRESS(ROW(), 39+$H151), ""[A-Z]+"")"),"AM")</f>
        <v>AM</v>
      </c>
      <c r="Q151" s="89" t="str">
        <f aca="false">IFERROR(__xludf.dummyfunction("REGEXEXTRACT(ADDRESS(ROW(), 40+$H151), ""[A-Z]+"")"),"AN")</f>
        <v>AN</v>
      </c>
      <c r="R151" s="89" t="n">
        <f aca="false">IFERROR(__xludf.dummyfunction("IFERROR(QUERY(INDIRECT(""'""&amp;$F151&amp;""'!C3:""&amp;Q151&amp;""""), ""SELECT ""&amp;I151&amp;"", ""&amp;J151&amp;"", ""&amp;K151&amp;"", ""&amp;L151&amp;"", ""&amp;M151&amp;"", ""&amp;N151&amp;"", ""&amp;O151&amp;"", ""&amp;P151&amp;"" WHERE '""&amp;B151&amp;""' CONTAINS D"", 0), """")"),20)</f>
        <v>20</v>
      </c>
      <c r="S151" s="89" t="n">
        <f aca="false">IFERROR(__xludf.dummyfunction("""COMPUTED_VALUE"""),16)</f>
        <v>16</v>
      </c>
      <c r="T151" s="89"/>
      <c r="U151" s="89"/>
      <c r="V151" s="89" t="n">
        <f aca="false">IFERROR(__xludf.dummyfunction("""COMPUTED_VALUE"""),8)</f>
        <v>8</v>
      </c>
      <c r="W151" s="89"/>
      <c r="X151" s="89" t="n">
        <f aca="false">IFERROR(__xludf.dummyfunction("""COMPUTED_VALUE"""),40)</f>
        <v>40</v>
      </c>
      <c r="Y151" s="89" t="n">
        <f aca="false">IFERROR(__xludf.dummyfunction("""COMPUTED_VALUE"""),84)</f>
        <v>84</v>
      </c>
    </row>
    <row r="152" customFormat="false" ht="17.9" hidden="false" customHeight="false" outlineLevel="0" collapsed="false">
      <c r="A152" s="85" t="n">
        <v>151</v>
      </c>
      <c r="B152" s="85" t="n">
        <v>452772</v>
      </c>
      <c r="C152" s="86" t="s">
        <v>251</v>
      </c>
      <c r="D152" s="87" t="s">
        <v>119</v>
      </c>
      <c r="E152" s="88" t="str">
        <f aca="false">D152</f>
        <v>P3121</v>
      </c>
      <c r="F152" s="88" t="str">
        <f aca="false">REPLACE(E152, 1, 3, "")</f>
        <v>21</v>
      </c>
      <c r="G152" s="89" t="str">
        <f aca="true">IFERROR(VLOOKUP(B152,INDIRECT("'"&amp;$F152&amp;"'!D3:D"),1,FALSE()), "Not found")</f>
        <v>Not found</v>
      </c>
      <c r="H152" s="89" t="n">
        <f aca="true">INDIRECT("'"&amp;$F152&amp;"'!D1")</f>
        <v>5</v>
      </c>
      <c r="I152" s="89" t="str">
        <f aca="false">IFERROR(__xludf.dummyfunction("REGEXEXTRACT(ADDRESS(ROW(), 19+$H152), ""[A-Z]+"")"),"X")</f>
        <v>X</v>
      </c>
      <c r="J152" s="89" t="str">
        <f aca="false">IFERROR(__xludf.dummyfunction("REGEXEXTRACT(ADDRESS(ROW(), 25+$H152), ""[A-Z]+"")"),"AD")</f>
        <v>AD</v>
      </c>
      <c r="K152" s="89" t="str">
        <f aca="false">IFERROR(__xludf.dummyfunction("REGEXEXTRACT(ADDRESS(ROW(), 27+$H152), ""[A-Z]+"")"),"AF")</f>
        <v>AF</v>
      </c>
      <c r="L152" s="89" t="str">
        <f aca="false">IFERROR(__xludf.dummyfunction("REGEXEXTRACT(ADDRESS(ROW(), 28+$H152), ""[A-Z]+"")"),"AG")</f>
        <v>AG</v>
      </c>
      <c r="M152" s="89" t="str">
        <f aca="false">IFERROR(__xludf.dummyfunction("REGEXEXTRACT(ADDRESS(ROW(), 34+$H152), ""[A-Z]+"")"),"AM")</f>
        <v>AM</v>
      </c>
      <c r="N152" s="89" t="str">
        <f aca="false">IFERROR(__xludf.dummyfunction("REGEXEXTRACT(ADDRESS(ROW(), 37+$H152), ""[A-Z]+"")"),"AP")</f>
        <v>AP</v>
      </c>
      <c r="O152" s="89" t="str">
        <f aca="false">IFERROR(__xludf.dummyfunction("REGEXEXTRACT(ADDRESS(ROW(), 38+$H152), ""[A-Z]+"")"),"AQ")</f>
        <v>AQ</v>
      </c>
      <c r="P152" s="89" t="str">
        <f aca="false">IFERROR(__xludf.dummyfunction("REGEXEXTRACT(ADDRESS(ROW(), 39+$H152), ""[A-Z]+"")"),"AR")</f>
        <v>AR</v>
      </c>
      <c r="Q152" s="89" t="str">
        <f aca="false">IFERROR(__xludf.dummyfunction("REGEXEXTRACT(ADDRESS(ROW(), 40+$H152), ""[A-Z]+"")"),"AS")</f>
        <v>AS</v>
      </c>
      <c r="R152" s="89" t="n">
        <f aca="false">IFERROR(__xludf.dummyfunction("IFERROR(QUERY(INDIRECT(""'""&amp;$F152&amp;""'!C3:""&amp;Q152&amp;""""), ""SELECT ""&amp;I152&amp;"", ""&amp;J152&amp;"", ""&amp;K152&amp;"", ""&amp;L152&amp;"", ""&amp;M152&amp;"", ""&amp;N152&amp;"", ""&amp;O152&amp;"", ""&amp;P152&amp;"" WHERE '""&amp;B152&amp;""' CONTAINS D"", 0), """")"),16)</f>
        <v>16</v>
      </c>
      <c r="S152" s="89" t="n">
        <f aca="false">IFERROR(__xludf.dummyfunction("""COMPUTED_VALUE"""),17)</f>
        <v>17</v>
      </c>
      <c r="T152" s="89"/>
      <c r="U152" s="89"/>
      <c r="V152" s="89" t="n">
        <f aca="false">IFERROR(__xludf.dummyfunction("""COMPUTED_VALUE"""),6)</f>
        <v>6</v>
      </c>
      <c r="W152" s="89"/>
      <c r="X152" s="89" t="n">
        <f aca="false">IFERROR(__xludf.dummyfunction("""COMPUTED_VALUE"""),25)</f>
        <v>25</v>
      </c>
      <c r="Y152" s="89" t="n">
        <f aca="false">IFERROR(__xludf.dummyfunction("""COMPUTED_VALUE"""),64)</f>
        <v>64</v>
      </c>
    </row>
    <row r="153" customFormat="false" ht="17.9" hidden="false" customHeight="false" outlineLevel="0" collapsed="false">
      <c r="A153" s="85" t="n">
        <v>152</v>
      </c>
      <c r="B153" s="85" t="n">
        <v>466364</v>
      </c>
      <c r="C153" s="86" t="s">
        <v>252</v>
      </c>
      <c r="D153" s="87" t="s">
        <v>139</v>
      </c>
      <c r="E153" s="88" t="str">
        <f aca="false">D153</f>
        <v>P3118</v>
      </c>
      <c r="F153" s="88" t="str">
        <f aca="false">REPLACE(E153, 1, 3, "")</f>
        <v>18</v>
      </c>
      <c r="G153" s="89" t="str">
        <f aca="true">IFERROR(VLOOKUP(B153,INDIRECT("'"&amp;$F153&amp;"'!D3:D"),1,FALSE()), "Not found")</f>
        <v>Not found</v>
      </c>
      <c r="H153" s="89" t="n">
        <f aca="true">INDIRECT("'"&amp;$F153&amp;"'!D1")</f>
        <v>0</v>
      </c>
      <c r="I153" s="89" t="str">
        <f aca="false">IFERROR(__xludf.dummyfunction("REGEXEXTRACT(ADDRESS(ROW(), 19+$H153), ""[A-Z]+"")"),"S")</f>
        <v>S</v>
      </c>
      <c r="J153" s="89" t="str">
        <f aca="false">IFERROR(__xludf.dummyfunction("REGEXEXTRACT(ADDRESS(ROW(), 25+$H153), ""[A-Z]+"")"),"Y")</f>
        <v>Y</v>
      </c>
      <c r="K153" s="89" t="str">
        <f aca="false">IFERROR(__xludf.dummyfunction("REGEXEXTRACT(ADDRESS(ROW(), 27+$H153), ""[A-Z]+"")"),"AA")</f>
        <v>AA</v>
      </c>
      <c r="L153" s="89" t="str">
        <f aca="false">IFERROR(__xludf.dummyfunction("REGEXEXTRACT(ADDRESS(ROW(), 28+$H153), ""[A-Z]+"")"),"AB")</f>
        <v>AB</v>
      </c>
      <c r="M153" s="89" t="str">
        <f aca="false">IFERROR(__xludf.dummyfunction("REGEXEXTRACT(ADDRESS(ROW(), 34+$H153), ""[A-Z]+"")"),"AH")</f>
        <v>AH</v>
      </c>
      <c r="N153" s="89" t="str">
        <f aca="false">IFERROR(__xludf.dummyfunction("REGEXEXTRACT(ADDRESS(ROW(), 37+$H153), ""[A-Z]+"")"),"AK")</f>
        <v>AK</v>
      </c>
      <c r="O153" s="89" t="str">
        <f aca="false">IFERROR(__xludf.dummyfunction("REGEXEXTRACT(ADDRESS(ROW(), 38+$H153), ""[A-Z]+"")"),"AL")</f>
        <v>AL</v>
      </c>
      <c r="P153" s="89" t="str">
        <f aca="false">IFERROR(__xludf.dummyfunction("REGEXEXTRACT(ADDRESS(ROW(), 39+$H153), ""[A-Z]+"")"),"AM")</f>
        <v>AM</v>
      </c>
      <c r="Q153" s="89" t="str">
        <f aca="false">IFERROR(__xludf.dummyfunction("REGEXEXTRACT(ADDRESS(ROW(), 40+$H153), ""[A-Z]+"")"),"AN")</f>
        <v>AN</v>
      </c>
      <c r="R153" s="89" t="str">
        <f aca="false">IFERROR(__xludf.dummyfunction("IFERROR(QUERY(INDIRECT(""'""&amp;$F153&amp;""'!C3:""&amp;Q153&amp;""""), ""SELECT ""&amp;I153&amp;"", ""&amp;J153&amp;"", ""&amp;K153&amp;"", ""&amp;L153&amp;"", ""&amp;M153&amp;"", ""&amp;N153&amp;"", ""&amp;O153&amp;"", ""&amp;P153&amp;"" WHERE '""&amp;B153&amp;""' CONTAINS D"", 0), """")"),"")</f>
        <v/>
      </c>
      <c r="S153" s="89"/>
      <c r="T153" s="89"/>
      <c r="U153" s="89"/>
      <c r="V153" s="89" t="n">
        <f aca="false">IFERROR(__xludf.dummyfunction("""COMPUTED_VALUE"""),0)</f>
        <v>0</v>
      </c>
      <c r="W153" s="89"/>
      <c r="X153" s="89"/>
      <c r="Y153" s="89" t="n">
        <f aca="false">IFERROR(__xludf.dummyfunction("""COMPUTED_VALUE"""),0)</f>
        <v>0</v>
      </c>
    </row>
    <row r="154" customFormat="false" ht="17.9" hidden="false" customHeight="false" outlineLevel="0" collapsed="false">
      <c r="A154" s="85" t="n">
        <v>153</v>
      </c>
      <c r="B154" s="85" t="n">
        <v>466369</v>
      </c>
      <c r="C154" s="86" t="s">
        <v>253</v>
      </c>
      <c r="D154" s="87" t="s">
        <v>83</v>
      </c>
      <c r="E154" s="88" t="str">
        <f aca="false">D154</f>
        <v>P3109</v>
      </c>
      <c r="F154" s="88" t="str">
        <f aca="false">REPLACE(E154, 1, 3, "")</f>
        <v>09</v>
      </c>
      <c r="G154" s="89" t="str">
        <f aca="true">IFERROR(VLOOKUP(B154,INDIRECT("'"&amp;$F154&amp;"'!D3:D"),1,FALSE()), "Not found")</f>
        <v>Not found</v>
      </c>
      <c r="H154" s="89" t="n">
        <f aca="true">INDIRECT("'"&amp;$F154&amp;"'!D1")</f>
        <v>0</v>
      </c>
      <c r="I154" s="89" t="str">
        <f aca="false">IFERROR(__xludf.dummyfunction("REGEXEXTRACT(ADDRESS(ROW(), 19+$H154), ""[A-Z]+"")"),"S")</f>
        <v>S</v>
      </c>
      <c r="J154" s="89" t="str">
        <f aca="false">IFERROR(__xludf.dummyfunction("REGEXEXTRACT(ADDRESS(ROW(), 25+$H154), ""[A-Z]+"")"),"Y")</f>
        <v>Y</v>
      </c>
      <c r="K154" s="89" t="str">
        <f aca="false">IFERROR(__xludf.dummyfunction("REGEXEXTRACT(ADDRESS(ROW(), 27+$H154), ""[A-Z]+"")"),"AA")</f>
        <v>AA</v>
      </c>
      <c r="L154" s="89" t="str">
        <f aca="false">IFERROR(__xludf.dummyfunction("REGEXEXTRACT(ADDRESS(ROW(), 28+$H154), ""[A-Z]+"")"),"AB")</f>
        <v>AB</v>
      </c>
      <c r="M154" s="89" t="str">
        <f aca="false">IFERROR(__xludf.dummyfunction("REGEXEXTRACT(ADDRESS(ROW(), 34+$H154), ""[A-Z]+"")"),"AH")</f>
        <v>AH</v>
      </c>
      <c r="N154" s="89" t="str">
        <f aca="false">IFERROR(__xludf.dummyfunction("REGEXEXTRACT(ADDRESS(ROW(), 37+$H154), ""[A-Z]+"")"),"AK")</f>
        <v>AK</v>
      </c>
      <c r="O154" s="89" t="str">
        <f aca="false">IFERROR(__xludf.dummyfunction("REGEXEXTRACT(ADDRESS(ROW(), 38+$H154), ""[A-Z]+"")"),"AL")</f>
        <v>AL</v>
      </c>
      <c r="P154" s="89" t="str">
        <f aca="false">IFERROR(__xludf.dummyfunction("REGEXEXTRACT(ADDRESS(ROW(), 39+$H154), ""[A-Z]+"")"),"AM")</f>
        <v>AM</v>
      </c>
      <c r="Q154" s="89" t="str">
        <f aca="false">IFERROR(__xludf.dummyfunction("REGEXEXTRACT(ADDRESS(ROW(), 40+$H154), ""[A-Z]+"")"),"AN")</f>
        <v>AN</v>
      </c>
      <c r="R154" s="89" t="n">
        <f aca="false">IFERROR(__xludf.dummyfunction("IFERROR(QUERY(INDIRECT(""'""&amp;$F154&amp;""'!C3:""&amp;Q154&amp;""""), ""SELECT ""&amp;I154&amp;"", ""&amp;J154&amp;"", ""&amp;K154&amp;"", ""&amp;L154&amp;"", ""&amp;M154&amp;"", ""&amp;N154&amp;"", ""&amp;O154&amp;"", ""&amp;P154&amp;"" WHERE '""&amp;B154&amp;""' CONTAINS D"", 0), """")"),12)</f>
        <v>12</v>
      </c>
      <c r="S154" s="89" t="n">
        <f aca="false">IFERROR(__xludf.dummyfunction("""COMPUTED_VALUE"""),13)</f>
        <v>13</v>
      </c>
      <c r="T154" s="89"/>
      <c r="U154" s="89"/>
      <c r="V154" s="89" t="n">
        <f aca="false">IFERROR(__xludf.dummyfunction("""COMPUTED_VALUE"""),6.01)</f>
        <v>6.01</v>
      </c>
      <c r="W154" s="89"/>
      <c r="X154" s="89" t="n">
        <f aca="false">IFERROR(__xludf.dummyfunction("""COMPUTED_VALUE"""),29)</f>
        <v>29</v>
      </c>
      <c r="Y154" s="89" t="n">
        <f aca="false">IFERROR(__xludf.dummyfunction("""COMPUTED_VALUE"""),60.01)</f>
        <v>60.01</v>
      </c>
    </row>
    <row r="155" customFormat="false" ht="17.9" hidden="false" customHeight="false" outlineLevel="0" collapsed="false">
      <c r="A155" s="85" t="n">
        <v>154</v>
      </c>
      <c r="B155" s="85" t="n">
        <v>411640</v>
      </c>
      <c r="C155" s="86" t="s">
        <v>254</v>
      </c>
      <c r="D155" s="87" t="s">
        <v>157</v>
      </c>
      <c r="E155" s="88" t="str">
        <f aca="false">D155</f>
        <v>P3123</v>
      </c>
      <c r="F155" s="88" t="str">
        <f aca="false">REPLACE(E155, 1, 3, "")</f>
        <v>23</v>
      </c>
      <c r="G155" s="89" t="str">
        <f aca="true">IFERROR(VLOOKUP(B155,INDIRECT("'"&amp;$F155&amp;"'!D3:D"),1,FALSE()), "Not found")</f>
        <v>Not found</v>
      </c>
      <c r="H155" s="89" t="n">
        <f aca="true">INDIRECT("'"&amp;$F155&amp;"'!D1")</f>
        <v>1</v>
      </c>
      <c r="I155" s="89" t="str">
        <f aca="false">IFERROR(__xludf.dummyfunction("REGEXEXTRACT(ADDRESS(ROW(), 19+$H155), ""[A-Z]+"")"),"T")</f>
        <v>T</v>
      </c>
      <c r="J155" s="89" t="str">
        <f aca="false">IFERROR(__xludf.dummyfunction("REGEXEXTRACT(ADDRESS(ROW(), 25+$H155), ""[A-Z]+"")"),"Z")</f>
        <v>Z</v>
      </c>
      <c r="K155" s="89" t="str">
        <f aca="false">IFERROR(__xludf.dummyfunction("REGEXEXTRACT(ADDRESS(ROW(), 27+$H155), ""[A-Z]+"")"),"AB")</f>
        <v>AB</v>
      </c>
      <c r="L155" s="89" t="str">
        <f aca="false">IFERROR(__xludf.dummyfunction("REGEXEXTRACT(ADDRESS(ROW(), 28+$H155), ""[A-Z]+"")"),"AC")</f>
        <v>AC</v>
      </c>
      <c r="M155" s="89" t="str">
        <f aca="false">IFERROR(__xludf.dummyfunction("REGEXEXTRACT(ADDRESS(ROW(), 34+$H155), ""[A-Z]+"")"),"AI")</f>
        <v>AI</v>
      </c>
      <c r="N155" s="89" t="str">
        <f aca="false">IFERROR(__xludf.dummyfunction("REGEXEXTRACT(ADDRESS(ROW(), 37+$H155), ""[A-Z]+"")"),"AL")</f>
        <v>AL</v>
      </c>
      <c r="O155" s="89" t="str">
        <f aca="false">IFERROR(__xludf.dummyfunction("REGEXEXTRACT(ADDRESS(ROW(), 38+$H155), ""[A-Z]+"")"),"AM")</f>
        <v>AM</v>
      </c>
      <c r="P155" s="89" t="str">
        <f aca="false">IFERROR(__xludf.dummyfunction("REGEXEXTRACT(ADDRESS(ROW(), 39+$H155), ""[A-Z]+"")"),"AN")</f>
        <v>AN</v>
      </c>
      <c r="Q155" s="89" t="str">
        <f aca="false">IFERROR(__xludf.dummyfunction("REGEXEXTRACT(ADDRESS(ROW(), 40+$H155), ""[A-Z]+"")"),"AO")</f>
        <v>AO</v>
      </c>
      <c r="R155" s="89" t="n">
        <f aca="false">IFERROR(__xludf.dummyfunction("IFERROR(QUERY(INDIRECT(""'""&amp;$F155&amp;""'!C3:""&amp;Q155&amp;""""), ""SELECT ""&amp;I155&amp;"", ""&amp;J155&amp;"", ""&amp;K155&amp;"", ""&amp;L155&amp;"", ""&amp;M155&amp;"", ""&amp;N155&amp;"", ""&amp;O155&amp;"", ""&amp;P155&amp;"" WHERE '""&amp;B155&amp;""' CONTAINS D"", 0), """")"),18)</f>
        <v>18</v>
      </c>
      <c r="S155" s="89" t="n">
        <f aca="false">IFERROR(__xludf.dummyfunction("""COMPUTED_VALUE"""),18)</f>
        <v>18</v>
      </c>
      <c r="T155" s="89"/>
      <c r="U155" s="89"/>
      <c r="V155" s="89" t="n">
        <f aca="false">IFERROR(__xludf.dummyfunction("""COMPUTED_VALUE"""),6)</f>
        <v>6</v>
      </c>
      <c r="W155" s="89"/>
      <c r="X155" s="89" t="n">
        <f aca="false">IFERROR(__xludf.dummyfunction("""COMPUTED_VALUE"""),24)</f>
        <v>24</v>
      </c>
      <c r="Y155" s="89" t="n">
        <f aca="false">IFERROR(__xludf.dummyfunction("""COMPUTED_VALUE"""),66)</f>
        <v>66</v>
      </c>
    </row>
    <row r="156" customFormat="false" ht="17.9" hidden="false" customHeight="false" outlineLevel="0" collapsed="false">
      <c r="A156" s="85" t="n">
        <v>155</v>
      </c>
      <c r="B156" s="85" t="n">
        <v>466376</v>
      </c>
      <c r="C156" s="86" t="s">
        <v>255</v>
      </c>
      <c r="D156" s="87" t="s">
        <v>183</v>
      </c>
      <c r="E156" s="88" t="str">
        <f aca="false">D156</f>
        <v>P3107</v>
      </c>
      <c r="F156" s="88" t="str">
        <f aca="false">REPLACE(E156, 1, 3, "")</f>
        <v>07</v>
      </c>
      <c r="G156" s="89" t="str">
        <f aca="true">IFERROR(VLOOKUP(B156,INDIRECT("'"&amp;$F156&amp;"'!D3:D"),1,FALSE()), "Not found")</f>
        <v>Not found</v>
      </c>
      <c r="H156" s="89" t="n">
        <f aca="true">INDIRECT("'"&amp;$F156&amp;"'!D1")</f>
        <v>0</v>
      </c>
      <c r="I156" s="89" t="str">
        <f aca="false">IFERROR(__xludf.dummyfunction("REGEXEXTRACT(ADDRESS(ROW(), 19+$H156), ""[A-Z]+"")"),"S")</f>
        <v>S</v>
      </c>
      <c r="J156" s="89" t="str">
        <f aca="false">IFERROR(__xludf.dummyfunction("REGEXEXTRACT(ADDRESS(ROW(), 25+$H156), ""[A-Z]+"")"),"Y")</f>
        <v>Y</v>
      </c>
      <c r="K156" s="89" t="str">
        <f aca="false">IFERROR(__xludf.dummyfunction("REGEXEXTRACT(ADDRESS(ROW(), 27+$H156), ""[A-Z]+"")"),"AA")</f>
        <v>AA</v>
      </c>
      <c r="L156" s="89" t="str">
        <f aca="false">IFERROR(__xludf.dummyfunction("REGEXEXTRACT(ADDRESS(ROW(), 28+$H156), ""[A-Z]+"")"),"AB")</f>
        <v>AB</v>
      </c>
      <c r="M156" s="89" t="str">
        <f aca="false">IFERROR(__xludf.dummyfunction("REGEXEXTRACT(ADDRESS(ROW(), 34+$H156), ""[A-Z]+"")"),"AH")</f>
        <v>AH</v>
      </c>
      <c r="N156" s="89" t="str">
        <f aca="false">IFERROR(__xludf.dummyfunction("REGEXEXTRACT(ADDRESS(ROW(), 37+$H156), ""[A-Z]+"")"),"AK")</f>
        <v>AK</v>
      </c>
      <c r="O156" s="89" t="str">
        <f aca="false">IFERROR(__xludf.dummyfunction("REGEXEXTRACT(ADDRESS(ROW(), 38+$H156), ""[A-Z]+"")"),"AL")</f>
        <v>AL</v>
      </c>
      <c r="P156" s="89" t="str">
        <f aca="false">IFERROR(__xludf.dummyfunction("REGEXEXTRACT(ADDRESS(ROW(), 39+$H156), ""[A-Z]+"")"),"AM")</f>
        <v>AM</v>
      </c>
      <c r="Q156" s="89" t="str">
        <f aca="false">IFERROR(__xludf.dummyfunction("REGEXEXTRACT(ADDRESS(ROW(), 40+$H156), ""[A-Z]+"")"),"AN")</f>
        <v>AN</v>
      </c>
      <c r="R156" s="89" t="n">
        <f aca="false">IFERROR(__xludf.dummyfunction("IFERROR(QUERY(INDIRECT(""'""&amp;$F156&amp;""'!C3:""&amp;Q156&amp;""""), ""SELECT ""&amp;I156&amp;"", ""&amp;J156&amp;"", ""&amp;K156&amp;"", ""&amp;L156&amp;"", ""&amp;M156&amp;"", ""&amp;N156&amp;"", ""&amp;O156&amp;"", ""&amp;P156&amp;"" WHERE '""&amp;B156&amp;""' CONTAINS D"", 0), """")"),16)</f>
        <v>16</v>
      </c>
      <c r="S156" s="89"/>
      <c r="T156" s="89"/>
      <c r="U156" s="89"/>
      <c r="V156" s="89" t="n">
        <f aca="false">IFERROR(__xludf.dummyfunction("""COMPUTED_VALUE"""),0.02)</f>
        <v>0.02</v>
      </c>
      <c r="W156" s="89"/>
      <c r="X156" s="89"/>
      <c r="Y156" s="89" t="n">
        <f aca="false">IFERROR(__xludf.dummyfunction("""COMPUTED_VALUE"""),16.02)</f>
        <v>16.02</v>
      </c>
    </row>
    <row r="157" customFormat="false" ht="17.9" hidden="false" customHeight="false" outlineLevel="0" collapsed="false">
      <c r="A157" s="85" t="n">
        <v>156</v>
      </c>
      <c r="B157" s="85" t="n">
        <v>466380</v>
      </c>
      <c r="C157" s="86" t="s">
        <v>256</v>
      </c>
      <c r="D157" s="87" t="s">
        <v>130</v>
      </c>
      <c r="E157" s="88" t="str">
        <f aca="false">D157</f>
        <v>P3117</v>
      </c>
      <c r="F157" s="88" t="str">
        <f aca="false">REPLACE(E157, 1, 3, "")</f>
        <v>17</v>
      </c>
      <c r="G157" s="89" t="str">
        <f aca="true">IFERROR(VLOOKUP(B157,INDIRECT("'"&amp;$F157&amp;"'!D3:D"),1,FALSE()), "Not found")</f>
        <v>Not found</v>
      </c>
      <c r="H157" s="89" t="n">
        <f aca="true">INDIRECT("'"&amp;$F157&amp;"'!D1")</f>
        <v>1</v>
      </c>
      <c r="I157" s="89" t="str">
        <f aca="false">IFERROR(__xludf.dummyfunction("REGEXEXTRACT(ADDRESS(ROW(), 19+$H157), ""[A-Z]+"")"),"T")</f>
        <v>T</v>
      </c>
      <c r="J157" s="89" t="str">
        <f aca="false">IFERROR(__xludf.dummyfunction("REGEXEXTRACT(ADDRESS(ROW(), 25+$H157), ""[A-Z]+"")"),"Z")</f>
        <v>Z</v>
      </c>
      <c r="K157" s="89" t="str">
        <f aca="false">IFERROR(__xludf.dummyfunction("REGEXEXTRACT(ADDRESS(ROW(), 27+$H157), ""[A-Z]+"")"),"AB")</f>
        <v>AB</v>
      </c>
      <c r="L157" s="89" t="str">
        <f aca="false">IFERROR(__xludf.dummyfunction("REGEXEXTRACT(ADDRESS(ROW(), 28+$H157), ""[A-Z]+"")"),"AC")</f>
        <v>AC</v>
      </c>
      <c r="M157" s="89" t="str">
        <f aca="false">IFERROR(__xludf.dummyfunction("REGEXEXTRACT(ADDRESS(ROW(), 34+$H157), ""[A-Z]+"")"),"AI")</f>
        <v>AI</v>
      </c>
      <c r="N157" s="89" t="str">
        <f aca="false">IFERROR(__xludf.dummyfunction("REGEXEXTRACT(ADDRESS(ROW(), 37+$H157), ""[A-Z]+"")"),"AL")</f>
        <v>AL</v>
      </c>
      <c r="O157" s="89" t="str">
        <f aca="false">IFERROR(__xludf.dummyfunction("REGEXEXTRACT(ADDRESS(ROW(), 38+$H157), ""[A-Z]+"")"),"AM")</f>
        <v>AM</v>
      </c>
      <c r="P157" s="89" t="str">
        <f aca="false">IFERROR(__xludf.dummyfunction("REGEXEXTRACT(ADDRESS(ROW(), 39+$H157), ""[A-Z]+"")"),"AN")</f>
        <v>AN</v>
      </c>
      <c r="Q157" s="89" t="str">
        <f aca="false">IFERROR(__xludf.dummyfunction("REGEXEXTRACT(ADDRESS(ROW(), 40+$H157), ""[A-Z]+"")"),"AO")</f>
        <v>AO</v>
      </c>
      <c r="R157" s="89" t="n">
        <f aca="false">IFERROR(__xludf.dummyfunction("IFERROR(QUERY(INDIRECT(""'""&amp;$F157&amp;""'!C3:""&amp;Q157&amp;""""), ""SELECT ""&amp;I157&amp;"", ""&amp;J157&amp;"", ""&amp;K157&amp;"", ""&amp;L157&amp;"", ""&amp;M157&amp;"", ""&amp;N157&amp;"", ""&amp;O157&amp;"", ""&amp;P157&amp;"" WHERE '""&amp;B157&amp;""' CONTAINS D"", 0), """")"),18)</f>
        <v>18</v>
      </c>
      <c r="S157" s="89" t="n">
        <f aca="false">IFERROR(__xludf.dummyfunction("""COMPUTED_VALUE"""),18.5)</f>
        <v>18.5</v>
      </c>
      <c r="T157" s="89"/>
      <c r="U157" s="89"/>
      <c r="V157" s="89" t="n">
        <f aca="false">IFERROR(__xludf.dummyfunction("""COMPUTED_VALUE"""),8)</f>
        <v>8</v>
      </c>
      <c r="W157" s="89"/>
      <c r="X157" s="89" t="n">
        <f aca="false">IFERROR(__xludf.dummyfunction("""COMPUTED_VALUE"""),40)</f>
        <v>40</v>
      </c>
      <c r="Y157" s="89" t="n">
        <f aca="false">IFERROR(__xludf.dummyfunction("""COMPUTED_VALUE"""),84.5)</f>
        <v>84.5</v>
      </c>
    </row>
    <row r="158" customFormat="false" ht="17.9" hidden="false" customHeight="false" outlineLevel="0" collapsed="false">
      <c r="A158" s="85" t="n">
        <v>157</v>
      </c>
      <c r="B158" s="85" t="n">
        <v>408931</v>
      </c>
      <c r="C158" s="86" t="s">
        <v>257</v>
      </c>
      <c r="D158" s="87" t="s">
        <v>125</v>
      </c>
      <c r="E158" s="88" t="str">
        <f aca="false">D158</f>
        <v>P3115</v>
      </c>
      <c r="F158" s="88" t="str">
        <f aca="false">REPLACE(E158, 1, 3, "")</f>
        <v>15</v>
      </c>
      <c r="G158" s="89" t="str">
        <f aca="true">IFERROR(VLOOKUP(B158,INDIRECT("'"&amp;$F158&amp;"'!D3:D"),1,FALSE()), "Not found")</f>
        <v>Not found</v>
      </c>
      <c r="H158" s="89" t="n">
        <f aca="true">INDIRECT("'"&amp;$F158&amp;"'!D1")</f>
        <v>1</v>
      </c>
      <c r="I158" s="89" t="str">
        <f aca="false">IFERROR(__xludf.dummyfunction("REGEXEXTRACT(ADDRESS(ROW(), 19+$H158), ""[A-Z]+"")"),"T")</f>
        <v>T</v>
      </c>
      <c r="J158" s="89" t="str">
        <f aca="false">IFERROR(__xludf.dummyfunction("REGEXEXTRACT(ADDRESS(ROW(), 25+$H158), ""[A-Z]+"")"),"Z")</f>
        <v>Z</v>
      </c>
      <c r="K158" s="89" t="str">
        <f aca="false">IFERROR(__xludf.dummyfunction("REGEXEXTRACT(ADDRESS(ROW(), 27+$H158), ""[A-Z]+"")"),"AB")</f>
        <v>AB</v>
      </c>
      <c r="L158" s="89" t="str">
        <f aca="false">IFERROR(__xludf.dummyfunction("REGEXEXTRACT(ADDRESS(ROW(), 28+$H158), ""[A-Z]+"")"),"AC")</f>
        <v>AC</v>
      </c>
      <c r="M158" s="89" t="str">
        <f aca="false">IFERROR(__xludf.dummyfunction("REGEXEXTRACT(ADDRESS(ROW(), 34+$H158), ""[A-Z]+"")"),"AI")</f>
        <v>AI</v>
      </c>
      <c r="N158" s="89" t="str">
        <f aca="false">IFERROR(__xludf.dummyfunction("REGEXEXTRACT(ADDRESS(ROW(), 37+$H158), ""[A-Z]+"")"),"AL")</f>
        <v>AL</v>
      </c>
      <c r="O158" s="89" t="str">
        <f aca="false">IFERROR(__xludf.dummyfunction("REGEXEXTRACT(ADDRESS(ROW(), 38+$H158), ""[A-Z]+"")"),"AM")</f>
        <v>AM</v>
      </c>
      <c r="P158" s="89" t="str">
        <f aca="false">IFERROR(__xludf.dummyfunction("REGEXEXTRACT(ADDRESS(ROW(), 39+$H158), ""[A-Z]+"")"),"AN")</f>
        <v>AN</v>
      </c>
      <c r="Q158" s="89" t="str">
        <f aca="false">IFERROR(__xludf.dummyfunction("REGEXEXTRACT(ADDRESS(ROW(), 40+$H158), ""[A-Z]+"")"),"AO")</f>
        <v>AO</v>
      </c>
      <c r="R158" s="89" t="n">
        <f aca="false">IFERROR(__xludf.dummyfunction("IFERROR(QUERY(INDIRECT(""'""&amp;$F158&amp;""'!C3:""&amp;Q158&amp;""""), ""SELECT ""&amp;I158&amp;"", ""&amp;J158&amp;"", ""&amp;K158&amp;"", ""&amp;L158&amp;"", ""&amp;M158&amp;"", ""&amp;N158&amp;"", ""&amp;O158&amp;"", ""&amp;P158&amp;"" WHERE '""&amp;B158&amp;""' CONTAINS D"", 0), """")"),18)</f>
        <v>18</v>
      </c>
      <c r="S158" s="89" t="n">
        <f aca="false">IFERROR(__xludf.dummyfunction("""COMPUTED_VALUE"""),16)</f>
        <v>16</v>
      </c>
      <c r="T158" s="89"/>
      <c r="U158" s="89"/>
      <c r="V158" s="89" t="n">
        <f aca="false">IFERROR(__xludf.dummyfunction("""COMPUTED_VALUE"""),9)</f>
        <v>9</v>
      </c>
      <c r="W158" s="89"/>
      <c r="X158" s="89" t="n">
        <f aca="false">IFERROR(__xludf.dummyfunction("""COMPUTED_VALUE"""),40)</f>
        <v>40</v>
      </c>
      <c r="Y158" s="89" t="n">
        <f aca="false">IFERROR(__xludf.dummyfunction("""COMPUTED_VALUE"""),83)</f>
        <v>83</v>
      </c>
    </row>
    <row r="159" customFormat="false" ht="17.9" hidden="false" customHeight="false" outlineLevel="0" collapsed="false">
      <c r="A159" s="85" t="n">
        <v>158</v>
      </c>
      <c r="B159" s="85" t="n">
        <v>466385</v>
      </c>
      <c r="C159" s="86" t="s">
        <v>258</v>
      </c>
      <c r="D159" s="87" t="s">
        <v>85</v>
      </c>
      <c r="E159" s="88" t="str">
        <f aca="false">D159</f>
        <v>P3132</v>
      </c>
      <c r="F159" s="88" t="str">
        <f aca="false">REPLACE(E159, 1, 3, "")</f>
        <v>32</v>
      </c>
      <c r="G159" s="89" t="str">
        <f aca="true">IFERROR(VLOOKUP(B159,INDIRECT("'"&amp;$F159&amp;"'!D3:D"),1,FALSE()), "Not found")</f>
        <v>Not found</v>
      </c>
      <c r="H159" s="89" t="n">
        <f aca="true">INDIRECT("'"&amp;$F159&amp;"'!D1")</f>
        <v>0</v>
      </c>
      <c r="I159" s="89" t="str">
        <f aca="false">IFERROR(__xludf.dummyfunction("REGEXEXTRACT(ADDRESS(ROW(), 19+$H159), ""[A-Z]+"")"),"S")</f>
        <v>S</v>
      </c>
      <c r="J159" s="89" t="str">
        <f aca="false">IFERROR(__xludf.dummyfunction("REGEXEXTRACT(ADDRESS(ROW(), 25+$H159), ""[A-Z]+"")"),"Y")</f>
        <v>Y</v>
      </c>
      <c r="K159" s="89" t="str">
        <f aca="false">IFERROR(__xludf.dummyfunction("REGEXEXTRACT(ADDRESS(ROW(), 27+$H159), ""[A-Z]+"")"),"AA")</f>
        <v>AA</v>
      </c>
      <c r="L159" s="89" t="str">
        <f aca="false">IFERROR(__xludf.dummyfunction("REGEXEXTRACT(ADDRESS(ROW(), 28+$H159), ""[A-Z]+"")"),"AB")</f>
        <v>AB</v>
      </c>
      <c r="M159" s="89" t="str">
        <f aca="false">IFERROR(__xludf.dummyfunction("REGEXEXTRACT(ADDRESS(ROW(), 34+$H159), ""[A-Z]+"")"),"AH")</f>
        <v>AH</v>
      </c>
      <c r="N159" s="89" t="str">
        <f aca="false">IFERROR(__xludf.dummyfunction("REGEXEXTRACT(ADDRESS(ROW(), 37+$H159), ""[A-Z]+"")"),"AK")</f>
        <v>AK</v>
      </c>
      <c r="O159" s="89" t="str">
        <f aca="false">IFERROR(__xludf.dummyfunction("REGEXEXTRACT(ADDRESS(ROW(), 38+$H159), ""[A-Z]+"")"),"AL")</f>
        <v>AL</v>
      </c>
      <c r="P159" s="89" t="str">
        <f aca="false">IFERROR(__xludf.dummyfunction("REGEXEXTRACT(ADDRESS(ROW(), 39+$H159), ""[A-Z]+"")"),"AM")</f>
        <v>AM</v>
      </c>
      <c r="Q159" s="89" t="str">
        <f aca="false">IFERROR(__xludf.dummyfunction("REGEXEXTRACT(ADDRESS(ROW(), 40+$H159), ""[A-Z]+"")"),"AN")</f>
        <v>AN</v>
      </c>
      <c r="R159" s="89" t="n">
        <f aca="false">IFERROR(__xludf.dummyfunction("IFERROR(QUERY(INDIRECT(""'""&amp;$F159&amp;""'!C3:""&amp;Q159&amp;""""), ""SELECT ""&amp;I159&amp;"", ""&amp;J159&amp;"", ""&amp;K159&amp;"", ""&amp;L159&amp;"", ""&amp;M159&amp;"", ""&amp;N159&amp;"", ""&amp;O159&amp;"", ""&amp;P159&amp;"" WHERE '""&amp;B159&amp;""' CONTAINS D"", 0), """")"),14)</f>
        <v>14</v>
      </c>
      <c r="S159" s="89" t="n">
        <f aca="false">IFERROR(__xludf.dummyfunction("""COMPUTED_VALUE"""),15)</f>
        <v>15</v>
      </c>
      <c r="T159" s="89"/>
      <c r="U159" s="89"/>
      <c r="V159" s="89" t="n">
        <f aca="false">IFERROR(__xludf.dummyfunction("""COMPUTED_VALUE"""),6)</f>
        <v>6</v>
      </c>
      <c r="W159" s="89" t="n">
        <f aca="false">IFERROR(__xludf.dummyfunction("""COMPUTED_VALUE"""),1)</f>
        <v>1</v>
      </c>
      <c r="X159" s="89" t="n">
        <f aca="false">IFERROR(__xludf.dummyfunction("""COMPUTED_VALUE"""),24)</f>
        <v>24</v>
      </c>
      <c r="Y159" s="89" t="n">
        <f aca="false">IFERROR(__xludf.dummyfunction("""COMPUTED_VALUE"""),60)</f>
        <v>60</v>
      </c>
    </row>
    <row r="160" customFormat="false" ht="17.9" hidden="false" customHeight="false" outlineLevel="0" collapsed="false">
      <c r="A160" s="85" t="n">
        <v>159</v>
      </c>
      <c r="B160" s="85" t="n">
        <v>466386</v>
      </c>
      <c r="C160" s="86" t="s">
        <v>259</v>
      </c>
      <c r="D160" s="87" t="s">
        <v>81</v>
      </c>
      <c r="E160" s="88" t="str">
        <f aca="false">D160</f>
        <v>P3108</v>
      </c>
      <c r="F160" s="88" t="str">
        <f aca="false">REPLACE(E160, 1, 3, "")</f>
        <v>08</v>
      </c>
      <c r="G160" s="89" t="str">
        <f aca="true">IFERROR(VLOOKUP(B160,INDIRECT("'"&amp;$F160&amp;"'!D3:D"),1,FALSE()), "Not found")</f>
        <v>Not found</v>
      </c>
      <c r="H160" s="89" t="n">
        <f aca="true">INDIRECT("'"&amp;$F160&amp;"'!D1")</f>
        <v>0</v>
      </c>
      <c r="I160" s="89" t="str">
        <f aca="false">IFERROR(__xludf.dummyfunction("REGEXEXTRACT(ADDRESS(ROW(), 19+$H160), ""[A-Z]+"")"),"S")</f>
        <v>S</v>
      </c>
      <c r="J160" s="89" t="str">
        <f aca="false">IFERROR(__xludf.dummyfunction("REGEXEXTRACT(ADDRESS(ROW(), 25+$H160), ""[A-Z]+"")"),"Y")</f>
        <v>Y</v>
      </c>
      <c r="K160" s="89" t="str">
        <f aca="false">IFERROR(__xludf.dummyfunction("REGEXEXTRACT(ADDRESS(ROW(), 27+$H160), ""[A-Z]+"")"),"AA")</f>
        <v>AA</v>
      </c>
      <c r="L160" s="89" t="str">
        <f aca="false">IFERROR(__xludf.dummyfunction("REGEXEXTRACT(ADDRESS(ROW(), 28+$H160), ""[A-Z]+"")"),"AB")</f>
        <v>AB</v>
      </c>
      <c r="M160" s="89" t="str">
        <f aca="false">IFERROR(__xludf.dummyfunction("REGEXEXTRACT(ADDRESS(ROW(), 34+$H160), ""[A-Z]+"")"),"AH")</f>
        <v>AH</v>
      </c>
      <c r="N160" s="89" t="str">
        <f aca="false">IFERROR(__xludf.dummyfunction("REGEXEXTRACT(ADDRESS(ROW(), 37+$H160), ""[A-Z]+"")"),"AK")</f>
        <v>AK</v>
      </c>
      <c r="O160" s="89" t="str">
        <f aca="false">IFERROR(__xludf.dummyfunction("REGEXEXTRACT(ADDRESS(ROW(), 38+$H160), ""[A-Z]+"")"),"AL")</f>
        <v>AL</v>
      </c>
      <c r="P160" s="89" t="str">
        <f aca="false">IFERROR(__xludf.dummyfunction("REGEXEXTRACT(ADDRESS(ROW(), 39+$H160), ""[A-Z]+"")"),"AM")</f>
        <v>AM</v>
      </c>
      <c r="Q160" s="89" t="str">
        <f aca="false">IFERROR(__xludf.dummyfunction("REGEXEXTRACT(ADDRESS(ROW(), 40+$H160), ""[A-Z]+"")"),"AN")</f>
        <v>AN</v>
      </c>
      <c r="R160" s="89" t="n">
        <f aca="false">IFERROR(__xludf.dummyfunction("IFERROR(QUERY(INDIRECT(""'""&amp;$F160&amp;""'!C3:""&amp;Q160&amp;""""), ""SELECT ""&amp;I160&amp;"", ""&amp;J160&amp;"", ""&amp;K160&amp;"", ""&amp;L160&amp;"", ""&amp;M160&amp;"", ""&amp;N160&amp;"", ""&amp;O160&amp;"", ""&amp;P160&amp;"" WHERE '""&amp;B160&amp;""' CONTAINS D"", 0), """")"),20)</f>
        <v>20</v>
      </c>
      <c r="S160" s="89" t="n">
        <f aca="false">IFERROR(__xludf.dummyfunction("""COMPUTED_VALUE"""),20)</f>
        <v>20</v>
      </c>
      <c r="T160" s="89"/>
      <c r="U160" s="89"/>
      <c r="V160" s="89" t="n">
        <f aca="false">IFERROR(__xludf.dummyfunction("""COMPUTED_VALUE"""),10)</f>
        <v>10</v>
      </c>
      <c r="W160" s="89"/>
      <c r="X160" s="89" t="n">
        <f aca="false">IFERROR(__xludf.dummyfunction("""COMPUTED_VALUE"""),40)</f>
        <v>40</v>
      </c>
      <c r="Y160" s="89" t="n">
        <f aca="false">IFERROR(__xludf.dummyfunction("""COMPUTED_VALUE"""),90)</f>
        <v>90</v>
      </c>
    </row>
    <row r="161" customFormat="false" ht="17.9" hidden="false" customHeight="false" outlineLevel="0" collapsed="false">
      <c r="A161" s="85" t="n">
        <v>160</v>
      </c>
      <c r="B161" s="85" t="n">
        <v>466391</v>
      </c>
      <c r="C161" s="86" t="s">
        <v>260</v>
      </c>
      <c r="D161" s="87" t="s">
        <v>157</v>
      </c>
      <c r="E161" s="88" t="str">
        <f aca="false">D161</f>
        <v>P3123</v>
      </c>
      <c r="F161" s="88" t="str">
        <f aca="false">REPLACE(E161, 1, 3, "")</f>
        <v>23</v>
      </c>
      <c r="G161" s="89" t="str">
        <f aca="true">IFERROR(VLOOKUP(B161,INDIRECT("'"&amp;$F161&amp;"'!D3:D"),1,FALSE()), "Not found")</f>
        <v>Not found</v>
      </c>
      <c r="H161" s="89" t="n">
        <f aca="true">INDIRECT("'"&amp;$F161&amp;"'!D1")</f>
        <v>1</v>
      </c>
      <c r="I161" s="89" t="str">
        <f aca="false">IFERROR(__xludf.dummyfunction("REGEXEXTRACT(ADDRESS(ROW(), 19+$H161), ""[A-Z]+"")"),"T")</f>
        <v>T</v>
      </c>
      <c r="J161" s="89" t="str">
        <f aca="false">IFERROR(__xludf.dummyfunction("REGEXEXTRACT(ADDRESS(ROW(), 25+$H161), ""[A-Z]+"")"),"Z")</f>
        <v>Z</v>
      </c>
      <c r="K161" s="89" t="str">
        <f aca="false">IFERROR(__xludf.dummyfunction("REGEXEXTRACT(ADDRESS(ROW(), 27+$H161), ""[A-Z]+"")"),"AB")</f>
        <v>AB</v>
      </c>
      <c r="L161" s="89" t="str">
        <f aca="false">IFERROR(__xludf.dummyfunction("REGEXEXTRACT(ADDRESS(ROW(), 28+$H161), ""[A-Z]+"")"),"AC")</f>
        <v>AC</v>
      </c>
      <c r="M161" s="89" t="str">
        <f aca="false">IFERROR(__xludf.dummyfunction("REGEXEXTRACT(ADDRESS(ROW(), 34+$H161), ""[A-Z]+"")"),"AI")</f>
        <v>AI</v>
      </c>
      <c r="N161" s="89" t="str">
        <f aca="false">IFERROR(__xludf.dummyfunction("REGEXEXTRACT(ADDRESS(ROW(), 37+$H161), ""[A-Z]+"")"),"AL")</f>
        <v>AL</v>
      </c>
      <c r="O161" s="89" t="str">
        <f aca="false">IFERROR(__xludf.dummyfunction("REGEXEXTRACT(ADDRESS(ROW(), 38+$H161), ""[A-Z]+"")"),"AM")</f>
        <v>AM</v>
      </c>
      <c r="P161" s="89" t="str">
        <f aca="false">IFERROR(__xludf.dummyfunction("REGEXEXTRACT(ADDRESS(ROW(), 39+$H161), ""[A-Z]+"")"),"AN")</f>
        <v>AN</v>
      </c>
      <c r="Q161" s="89" t="str">
        <f aca="false">IFERROR(__xludf.dummyfunction("REGEXEXTRACT(ADDRESS(ROW(), 40+$H161), ""[A-Z]+"")"),"AO")</f>
        <v>AO</v>
      </c>
      <c r="R161" s="89" t="n">
        <f aca="false">IFERROR(__xludf.dummyfunction("IFERROR(QUERY(INDIRECT(""'""&amp;$F161&amp;""'!C3:""&amp;Q161&amp;""""), ""SELECT ""&amp;I161&amp;"", ""&amp;J161&amp;"", ""&amp;K161&amp;"", ""&amp;L161&amp;"", ""&amp;M161&amp;"", ""&amp;N161&amp;"", ""&amp;O161&amp;"", ""&amp;P161&amp;"" WHERE '""&amp;B161&amp;""' CONTAINS D"", 0), """")"),13)</f>
        <v>13</v>
      </c>
      <c r="S161" s="89" t="n">
        <f aca="false">IFERROR(__xludf.dummyfunction("""COMPUTED_VALUE"""),12)</f>
        <v>12</v>
      </c>
      <c r="T161" s="89"/>
      <c r="U161" s="89"/>
      <c r="V161" s="89" t="n">
        <f aca="false">IFERROR(__xludf.dummyfunction("""COMPUTED_VALUE"""),6)</f>
        <v>6</v>
      </c>
      <c r="W161" s="89"/>
      <c r="X161" s="89" t="n">
        <f aca="false">IFERROR(__xludf.dummyfunction("""COMPUTED_VALUE"""),29.5)</f>
        <v>29.5</v>
      </c>
      <c r="Y161" s="89" t="n">
        <f aca="false">IFERROR(__xludf.dummyfunction("""COMPUTED_VALUE"""),60.5)</f>
        <v>60.5</v>
      </c>
    </row>
    <row r="162" customFormat="false" ht="17.9" hidden="false" customHeight="false" outlineLevel="0" collapsed="false">
      <c r="A162" s="85" t="n">
        <v>161</v>
      </c>
      <c r="B162" s="85" t="n">
        <v>466398</v>
      </c>
      <c r="C162" s="86" t="s">
        <v>261</v>
      </c>
      <c r="D162" s="87" t="s">
        <v>87</v>
      </c>
      <c r="E162" s="88" t="str">
        <f aca="false">D162</f>
        <v>P3130</v>
      </c>
      <c r="F162" s="88" t="str">
        <f aca="false">REPLACE(E162, 1, 3, "")</f>
        <v>30</v>
      </c>
      <c r="G162" s="89" t="str">
        <f aca="true">IFERROR(VLOOKUP(B162,INDIRECT("'"&amp;$F162&amp;"'!D3:D"),1,FALSE()), "Not found")</f>
        <v>Not found</v>
      </c>
      <c r="H162" s="89" t="n">
        <f aca="true">INDIRECT("'"&amp;$F162&amp;"'!D1")</f>
        <v>0</v>
      </c>
      <c r="I162" s="89" t="str">
        <f aca="false">IFERROR(__xludf.dummyfunction("REGEXEXTRACT(ADDRESS(ROW(), 19+$H162), ""[A-Z]+"")"),"S")</f>
        <v>S</v>
      </c>
      <c r="J162" s="89" t="str">
        <f aca="false">IFERROR(__xludf.dummyfunction("REGEXEXTRACT(ADDRESS(ROW(), 25+$H162), ""[A-Z]+"")"),"Y")</f>
        <v>Y</v>
      </c>
      <c r="K162" s="89" t="str">
        <f aca="false">IFERROR(__xludf.dummyfunction("REGEXEXTRACT(ADDRESS(ROW(), 27+$H162), ""[A-Z]+"")"),"AA")</f>
        <v>AA</v>
      </c>
      <c r="L162" s="89" t="str">
        <f aca="false">IFERROR(__xludf.dummyfunction("REGEXEXTRACT(ADDRESS(ROW(), 28+$H162), ""[A-Z]+"")"),"AB")</f>
        <v>AB</v>
      </c>
      <c r="M162" s="89" t="str">
        <f aca="false">IFERROR(__xludf.dummyfunction("REGEXEXTRACT(ADDRESS(ROW(), 34+$H162), ""[A-Z]+"")"),"AH")</f>
        <v>AH</v>
      </c>
      <c r="N162" s="89" t="str">
        <f aca="false">IFERROR(__xludf.dummyfunction("REGEXEXTRACT(ADDRESS(ROW(), 37+$H162), ""[A-Z]+"")"),"AK")</f>
        <v>AK</v>
      </c>
      <c r="O162" s="89" t="str">
        <f aca="false">IFERROR(__xludf.dummyfunction("REGEXEXTRACT(ADDRESS(ROW(), 38+$H162), ""[A-Z]+"")"),"AL")</f>
        <v>AL</v>
      </c>
      <c r="P162" s="89" t="str">
        <f aca="false">IFERROR(__xludf.dummyfunction("REGEXEXTRACT(ADDRESS(ROW(), 39+$H162), ""[A-Z]+"")"),"AM")</f>
        <v>AM</v>
      </c>
      <c r="Q162" s="89" t="str">
        <f aca="false">IFERROR(__xludf.dummyfunction("REGEXEXTRACT(ADDRESS(ROW(), 40+$H162), ""[A-Z]+"")"),"AN")</f>
        <v>AN</v>
      </c>
      <c r="R162" s="89" t="n">
        <f aca="false">IFERROR(__xludf.dummyfunction("IFERROR(QUERY(INDIRECT(""'""&amp;$F162&amp;""'!C3:""&amp;Q162&amp;""""), ""SELECT ""&amp;I162&amp;"", ""&amp;J162&amp;"", ""&amp;K162&amp;"", ""&amp;L162&amp;"", ""&amp;M162&amp;"", ""&amp;N162&amp;"", ""&amp;O162&amp;"", ""&amp;P162&amp;"" WHERE '""&amp;B162&amp;""' CONTAINS D"", 0), """")"),14)</f>
        <v>14</v>
      </c>
      <c r="S162" s="89" t="n">
        <f aca="false">IFERROR(__xludf.dummyfunction("""COMPUTED_VALUE"""),20)</f>
        <v>20</v>
      </c>
      <c r="T162" s="89"/>
      <c r="U162" s="89"/>
      <c r="V162" s="89" t="n">
        <f aca="false">IFERROR(__xludf.dummyfunction("""COMPUTED_VALUE"""),6)</f>
        <v>6</v>
      </c>
      <c r="W162" s="89"/>
      <c r="X162" s="89" t="n">
        <f aca="false">IFERROR(__xludf.dummyfunction("""COMPUTED_VALUE"""),40)</f>
        <v>40</v>
      </c>
      <c r="Y162" s="89" t="n">
        <f aca="false">IFERROR(__xludf.dummyfunction("""COMPUTED_VALUE"""),80)</f>
        <v>80</v>
      </c>
    </row>
    <row r="163" customFormat="false" ht="17.9" hidden="false" customHeight="false" outlineLevel="0" collapsed="false">
      <c r="A163" s="85" t="n">
        <v>162</v>
      </c>
      <c r="B163" s="85" t="n">
        <v>466402</v>
      </c>
      <c r="C163" s="86" t="s">
        <v>262</v>
      </c>
      <c r="D163" s="87" t="s">
        <v>83</v>
      </c>
      <c r="E163" s="88" t="str">
        <f aca="false">D163</f>
        <v>P3109</v>
      </c>
      <c r="F163" s="88" t="str">
        <f aca="false">REPLACE(E163, 1, 3, "")</f>
        <v>09</v>
      </c>
      <c r="G163" s="89" t="str">
        <f aca="true">IFERROR(VLOOKUP(B163,INDIRECT("'"&amp;$F163&amp;"'!D3:D"),1,FALSE()), "Not found")</f>
        <v>Not found</v>
      </c>
      <c r="H163" s="89" t="n">
        <f aca="true">INDIRECT("'"&amp;$F163&amp;"'!D1")</f>
        <v>0</v>
      </c>
      <c r="I163" s="89" t="str">
        <f aca="false">IFERROR(__xludf.dummyfunction("REGEXEXTRACT(ADDRESS(ROW(), 19+$H163), ""[A-Z]+"")"),"S")</f>
        <v>S</v>
      </c>
      <c r="J163" s="89" t="str">
        <f aca="false">IFERROR(__xludf.dummyfunction("REGEXEXTRACT(ADDRESS(ROW(), 25+$H163), ""[A-Z]+"")"),"Y")</f>
        <v>Y</v>
      </c>
      <c r="K163" s="89" t="str">
        <f aca="false">IFERROR(__xludf.dummyfunction("REGEXEXTRACT(ADDRESS(ROW(), 27+$H163), ""[A-Z]+"")"),"AA")</f>
        <v>AA</v>
      </c>
      <c r="L163" s="89" t="str">
        <f aca="false">IFERROR(__xludf.dummyfunction("REGEXEXTRACT(ADDRESS(ROW(), 28+$H163), ""[A-Z]+"")"),"AB")</f>
        <v>AB</v>
      </c>
      <c r="M163" s="89" t="str">
        <f aca="false">IFERROR(__xludf.dummyfunction("REGEXEXTRACT(ADDRESS(ROW(), 34+$H163), ""[A-Z]+"")"),"AH")</f>
        <v>AH</v>
      </c>
      <c r="N163" s="89" t="str">
        <f aca="false">IFERROR(__xludf.dummyfunction("REGEXEXTRACT(ADDRESS(ROW(), 37+$H163), ""[A-Z]+"")"),"AK")</f>
        <v>AK</v>
      </c>
      <c r="O163" s="89" t="str">
        <f aca="false">IFERROR(__xludf.dummyfunction("REGEXEXTRACT(ADDRESS(ROW(), 38+$H163), ""[A-Z]+"")"),"AL")</f>
        <v>AL</v>
      </c>
      <c r="P163" s="89" t="str">
        <f aca="false">IFERROR(__xludf.dummyfunction("REGEXEXTRACT(ADDRESS(ROW(), 39+$H163), ""[A-Z]+"")"),"AM")</f>
        <v>AM</v>
      </c>
      <c r="Q163" s="89" t="str">
        <f aca="false">IFERROR(__xludf.dummyfunction("REGEXEXTRACT(ADDRESS(ROW(), 40+$H163), ""[A-Z]+"")"),"AN")</f>
        <v>AN</v>
      </c>
      <c r="R163" s="89" t="n">
        <f aca="false">IFERROR(__xludf.dummyfunction("IFERROR(QUERY(INDIRECT(""'""&amp;$F163&amp;""'!C3:""&amp;Q163&amp;""""), ""SELECT ""&amp;I163&amp;"", ""&amp;J163&amp;"", ""&amp;K163&amp;"", ""&amp;L163&amp;"", ""&amp;M163&amp;"", ""&amp;N163&amp;"", ""&amp;O163&amp;"", ""&amp;P163&amp;"" WHERE '""&amp;B163&amp;""' CONTAINS D"", 0), """")"),17)</f>
        <v>17</v>
      </c>
      <c r="S163" s="89" t="n">
        <f aca="false">IFERROR(__xludf.dummyfunction("""COMPUTED_VALUE"""),17)</f>
        <v>17</v>
      </c>
      <c r="T163" s="89"/>
      <c r="U163" s="89"/>
      <c r="V163" s="89" t="n">
        <f aca="false">IFERROR(__xludf.dummyfunction("""COMPUTED_VALUE"""),10)</f>
        <v>10</v>
      </c>
      <c r="W163" s="89"/>
      <c r="X163" s="89" t="n">
        <f aca="false">IFERROR(__xludf.dummyfunction("""COMPUTED_VALUE"""),40)</f>
        <v>40</v>
      </c>
      <c r="Y163" s="89" t="n">
        <f aca="false">IFERROR(__xludf.dummyfunction("""COMPUTED_VALUE"""),84)</f>
        <v>84</v>
      </c>
    </row>
    <row r="164" customFormat="false" ht="17.9" hidden="false" customHeight="false" outlineLevel="0" collapsed="false">
      <c r="A164" s="85" t="n">
        <v>163</v>
      </c>
      <c r="B164" s="85" t="n">
        <v>466423</v>
      </c>
      <c r="C164" s="86" t="s">
        <v>263</v>
      </c>
      <c r="D164" s="87" t="s">
        <v>93</v>
      </c>
      <c r="E164" s="88" t="str">
        <f aca="false">D164</f>
        <v>P3114</v>
      </c>
      <c r="F164" s="88" t="str">
        <f aca="false">REPLACE(E164, 1, 3, "")</f>
        <v>14</v>
      </c>
      <c r="G164" s="89" t="str">
        <f aca="true">IFERROR(VLOOKUP(B164,INDIRECT("'"&amp;$F164&amp;"'!D3:D"),1,FALSE()), "Not found")</f>
        <v>Not found</v>
      </c>
      <c r="H164" s="89" t="n">
        <f aca="true">INDIRECT("'"&amp;$F164&amp;"'!D1")</f>
        <v>0</v>
      </c>
      <c r="I164" s="89" t="str">
        <f aca="false">IFERROR(__xludf.dummyfunction("REGEXEXTRACT(ADDRESS(ROW(), 19+$H164), ""[A-Z]+"")"),"S")</f>
        <v>S</v>
      </c>
      <c r="J164" s="89" t="str">
        <f aca="false">IFERROR(__xludf.dummyfunction("REGEXEXTRACT(ADDRESS(ROW(), 25+$H164), ""[A-Z]+"")"),"Y")</f>
        <v>Y</v>
      </c>
      <c r="K164" s="89" t="str">
        <f aca="false">IFERROR(__xludf.dummyfunction("REGEXEXTRACT(ADDRESS(ROW(), 27+$H164), ""[A-Z]+"")"),"AA")</f>
        <v>AA</v>
      </c>
      <c r="L164" s="89" t="str">
        <f aca="false">IFERROR(__xludf.dummyfunction("REGEXEXTRACT(ADDRESS(ROW(), 28+$H164), ""[A-Z]+"")"),"AB")</f>
        <v>AB</v>
      </c>
      <c r="M164" s="89" t="str">
        <f aca="false">IFERROR(__xludf.dummyfunction("REGEXEXTRACT(ADDRESS(ROW(), 34+$H164), ""[A-Z]+"")"),"AH")</f>
        <v>AH</v>
      </c>
      <c r="N164" s="89" t="str">
        <f aca="false">IFERROR(__xludf.dummyfunction("REGEXEXTRACT(ADDRESS(ROW(), 37+$H164), ""[A-Z]+"")"),"AK")</f>
        <v>AK</v>
      </c>
      <c r="O164" s="89" t="str">
        <f aca="false">IFERROR(__xludf.dummyfunction("REGEXEXTRACT(ADDRESS(ROW(), 38+$H164), ""[A-Z]+"")"),"AL")</f>
        <v>AL</v>
      </c>
      <c r="P164" s="89" t="str">
        <f aca="false">IFERROR(__xludf.dummyfunction("REGEXEXTRACT(ADDRESS(ROW(), 39+$H164), ""[A-Z]+"")"),"AM")</f>
        <v>AM</v>
      </c>
      <c r="Q164" s="89" t="str">
        <f aca="false">IFERROR(__xludf.dummyfunction("REGEXEXTRACT(ADDRESS(ROW(), 40+$H164), ""[A-Z]+"")"),"AN")</f>
        <v>AN</v>
      </c>
      <c r="R164" s="89" t="n">
        <f aca="false">IFERROR(__xludf.dummyfunction("IFERROR(QUERY(INDIRECT(""'""&amp;$F164&amp;""'!C3:""&amp;Q164&amp;""""), ""SELECT ""&amp;I164&amp;"", ""&amp;J164&amp;"", ""&amp;K164&amp;"", ""&amp;L164&amp;"", ""&amp;M164&amp;"", ""&amp;N164&amp;"", ""&amp;O164&amp;"", ""&amp;P164&amp;"" WHERE '""&amp;B164&amp;""' CONTAINS D"", 0), """")"),13)</f>
        <v>13</v>
      </c>
      <c r="S164" s="89" t="n">
        <f aca="false">IFERROR(__xludf.dummyfunction("""COMPUTED_VALUE"""),12)</f>
        <v>12</v>
      </c>
      <c r="T164" s="89"/>
      <c r="U164" s="89"/>
      <c r="V164" s="89" t="n">
        <f aca="false">IFERROR(__xludf.dummyfunction("""COMPUTED_VALUE"""),6)</f>
        <v>6</v>
      </c>
      <c r="W164" s="89"/>
      <c r="X164" s="89" t="n">
        <f aca="false">IFERROR(__xludf.dummyfunction("""COMPUTED_VALUE"""),29)</f>
        <v>29</v>
      </c>
      <c r="Y164" s="89" t="n">
        <f aca="false">IFERROR(__xludf.dummyfunction("""COMPUTED_VALUE"""),60)</f>
        <v>60</v>
      </c>
    </row>
    <row r="165" customFormat="false" ht="17.9" hidden="false" customHeight="false" outlineLevel="0" collapsed="false">
      <c r="A165" s="85" t="n">
        <v>164</v>
      </c>
      <c r="B165" s="85" t="n">
        <v>412989</v>
      </c>
      <c r="C165" s="86" t="s">
        <v>264</v>
      </c>
      <c r="D165" s="87" t="s">
        <v>87</v>
      </c>
      <c r="E165" s="88" t="str">
        <f aca="false">D165</f>
        <v>P3130</v>
      </c>
      <c r="F165" s="88" t="str">
        <f aca="false">REPLACE(E165, 1, 3, "")</f>
        <v>30</v>
      </c>
      <c r="G165" s="89" t="str">
        <f aca="true">IFERROR(VLOOKUP(B165,INDIRECT("'"&amp;$F165&amp;"'!D3:D"),1,FALSE()), "Not found")</f>
        <v>Not found</v>
      </c>
      <c r="H165" s="89" t="n">
        <f aca="true">INDIRECT("'"&amp;$F165&amp;"'!D1")</f>
        <v>0</v>
      </c>
      <c r="I165" s="89" t="str">
        <f aca="false">IFERROR(__xludf.dummyfunction("REGEXEXTRACT(ADDRESS(ROW(), 19+$H165), ""[A-Z]+"")"),"S")</f>
        <v>S</v>
      </c>
      <c r="J165" s="89" t="str">
        <f aca="false">IFERROR(__xludf.dummyfunction("REGEXEXTRACT(ADDRESS(ROW(), 25+$H165), ""[A-Z]+"")"),"Y")</f>
        <v>Y</v>
      </c>
      <c r="K165" s="89" t="str">
        <f aca="false">IFERROR(__xludf.dummyfunction("REGEXEXTRACT(ADDRESS(ROW(), 27+$H165), ""[A-Z]+"")"),"AA")</f>
        <v>AA</v>
      </c>
      <c r="L165" s="89" t="str">
        <f aca="false">IFERROR(__xludf.dummyfunction("REGEXEXTRACT(ADDRESS(ROW(), 28+$H165), ""[A-Z]+"")"),"AB")</f>
        <v>AB</v>
      </c>
      <c r="M165" s="89" t="str">
        <f aca="false">IFERROR(__xludf.dummyfunction("REGEXEXTRACT(ADDRESS(ROW(), 34+$H165), ""[A-Z]+"")"),"AH")</f>
        <v>AH</v>
      </c>
      <c r="N165" s="89" t="str">
        <f aca="false">IFERROR(__xludf.dummyfunction("REGEXEXTRACT(ADDRESS(ROW(), 37+$H165), ""[A-Z]+"")"),"AK")</f>
        <v>AK</v>
      </c>
      <c r="O165" s="89" t="str">
        <f aca="false">IFERROR(__xludf.dummyfunction("REGEXEXTRACT(ADDRESS(ROW(), 38+$H165), ""[A-Z]+"")"),"AL")</f>
        <v>AL</v>
      </c>
      <c r="P165" s="89" t="str">
        <f aca="false">IFERROR(__xludf.dummyfunction("REGEXEXTRACT(ADDRESS(ROW(), 39+$H165), ""[A-Z]+"")"),"AM")</f>
        <v>AM</v>
      </c>
      <c r="Q165" s="89" t="str">
        <f aca="false">IFERROR(__xludf.dummyfunction("REGEXEXTRACT(ADDRESS(ROW(), 40+$H165), ""[A-Z]+"")"),"AN")</f>
        <v>AN</v>
      </c>
      <c r="R165" s="89" t="n">
        <f aca="false">IFERROR(__xludf.dummyfunction("IFERROR(QUERY(INDIRECT(""'""&amp;$F165&amp;""'!C3:""&amp;Q165&amp;""""), ""SELECT ""&amp;I165&amp;"", ""&amp;J165&amp;"", ""&amp;K165&amp;"", ""&amp;L165&amp;"", ""&amp;M165&amp;"", ""&amp;N165&amp;"", ""&amp;O165&amp;"", ""&amp;P165&amp;"" WHERE '""&amp;B165&amp;""' CONTAINS D"", 0), """")"),16.5)</f>
        <v>16.5</v>
      </c>
      <c r="S165" s="89" t="n">
        <f aca="false">IFERROR(__xludf.dummyfunction("""COMPUTED_VALUE"""),19)</f>
        <v>19</v>
      </c>
      <c r="T165" s="89"/>
      <c r="U165" s="89"/>
      <c r="V165" s="89" t="n">
        <f aca="false">IFERROR(__xludf.dummyfunction("""COMPUTED_VALUE"""),9)</f>
        <v>9</v>
      </c>
      <c r="W165" s="89"/>
      <c r="X165" s="89" t="n">
        <f aca="false">IFERROR(__xludf.dummyfunction("""COMPUTED_VALUE"""),40)</f>
        <v>40</v>
      </c>
      <c r="Y165" s="89" t="n">
        <f aca="false">IFERROR(__xludf.dummyfunction("""COMPUTED_VALUE"""),84.5)</f>
        <v>84.5</v>
      </c>
    </row>
    <row r="166" customFormat="false" ht="17.9" hidden="false" customHeight="false" outlineLevel="0" collapsed="false">
      <c r="A166" s="85" t="n">
        <v>165</v>
      </c>
      <c r="B166" s="85" t="n">
        <v>466441</v>
      </c>
      <c r="C166" s="86" t="s">
        <v>265</v>
      </c>
      <c r="D166" s="87" t="s">
        <v>102</v>
      </c>
      <c r="E166" s="88" t="str">
        <f aca="false">D166</f>
        <v>P3110</v>
      </c>
      <c r="F166" s="88" t="str">
        <f aca="false">REPLACE(E166, 1, 3, "")</f>
        <v>10</v>
      </c>
      <c r="G166" s="89" t="str">
        <f aca="true">IFERROR(VLOOKUP(B166,INDIRECT("'"&amp;$F166&amp;"'!D3:D"),1,FALSE()), "Not found")</f>
        <v>Not found</v>
      </c>
      <c r="H166" s="89" t="n">
        <f aca="true">INDIRECT("'"&amp;$F166&amp;"'!D1")</f>
        <v>0</v>
      </c>
      <c r="I166" s="89" t="str">
        <f aca="false">IFERROR(__xludf.dummyfunction("REGEXEXTRACT(ADDRESS(ROW(), 19+$H166), ""[A-Z]+"")"),"S")</f>
        <v>S</v>
      </c>
      <c r="J166" s="89" t="str">
        <f aca="false">IFERROR(__xludf.dummyfunction("REGEXEXTRACT(ADDRESS(ROW(), 25+$H166), ""[A-Z]+"")"),"Y")</f>
        <v>Y</v>
      </c>
      <c r="K166" s="89" t="str">
        <f aca="false">IFERROR(__xludf.dummyfunction("REGEXEXTRACT(ADDRESS(ROW(), 27+$H166), ""[A-Z]+"")"),"AA")</f>
        <v>AA</v>
      </c>
      <c r="L166" s="89" t="str">
        <f aca="false">IFERROR(__xludf.dummyfunction("REGEXEXTRACT(ADDRESS(ROW(), 28+$H166), ""[A-Z]+"")"),"AB")</f>
        <v>AB</v>
      </c>
      <c r="M166" s="89" t="str">
        <f aca="false">IFERROR(__xludf.dummyfunction("REGEXEXTRACT(ADDRESS(ROW(), 34+$H166), ""[A-Z]+"")"),"AH")</f>
        <v>AH</v>
      </c>
      <c r="N166" s="89" t="str">
        <f aca="false">IFERROR(__xludf.dummyfunction("REGEXEXTRACT(ADDRESS(ROW(), 37+$H166), ""[A-Z]+"")"),"AK")</f>
        <v>AK</v>
      </c>
      <c r="O166" s="89" t="str">
        <f aca="false">IFERROR(__xludf.dummyfunction("REGEXEXTRACT(ADDRESS(ROW(), 38+$H166), ""[A-Z]+"")"),"AL")</f>
        <v>AL</v>
      </c>
      <c r="P166" s="89" t="str">
        <f aca="false">IFERROR(__xludf.dummyfunction("REGEXEXTRACT(ADDRESS(ROW(), 39+$H166), ""[A-Z]+"")"),"AM")</f>
        <v>AM</v>
      </c>
      <c r="Q166" s="89" t="str">
        <f aca="false">IFERROR(__xludf.dummyfunction("REGEXEXTRACT(ADDRESS(ROW(), 40+$H166), ""[A-Z]+"")"),"AN")</f>
        <v>AN</v>
      </c>
      <c r="R166" s="89" t="n">
        <f aca="false">IFERROR(__xludf.dummyfunction("IFERROR(QUERY(INDIRECT(""'""&amp;$F166&amp;""'!C3:""&amp;Q166&amp;""""), ""SELECT ""&amp;I166&amp;"", ""&amp;J166&amp;"", ""&amp;K166&amp;"", ""&amp;L166&amp;"", ""&amp;M166&amp;"", ""&amp;N166&amp;"", ""&amp;O166&amp;"", ""&amp;P166&amp;"" WHERE '""&amp;B166&amp;""' CONTAINS D"", 0), """")"),17)</f>
        <v>17</v>
      </c>
      <c r="S166" s="89" t="n">
        <f aca="false">IFERROR(__xludf.dummyfunction("""COMPUTED_VALUE"""),16)</f>
        <v>16</v>
      </c>
      <c r="T166" s="89"/>
      <c r="U166" s="89"/>
      <c r="V166" s="89" t="n">
        <f aca="false">IFERROR(__xludf.dummyfunction("""COMPUTED_VALUE"""),9.5)</f>
        <v>9.5</v>
      </c>
      <c r="W166" s="89"/>
      <c r="X166" s="89" t="n">
        <f aca="false">IFERROR(__xludf.dummyfunction("""COMPUTED_VALUE"""),40)</f>
        <v>40</v>
      </c>
      <c r="Y166" s="89" t="n">
        <f aca="false">IFERROR(__xludf.dummyfunction("""COMPUTED_VALUE"""),82.5)</f>
        <v>82.5</v>
      </c>
    </row>
    <row r="167" customFormat="false" ht="17.9" hidden="false" customHeight="false" outlineLevel="0" collapsed="false">
      <c r="A167" s="85" t="n">
        <v>166</v>
      </c>
      <c r="B167" s="85" t="n">
        <v>466449</v>
      </c>
      <c r="C167" s="86" t="s">
        <v>266</v>
      </c>
      <c r="D167" s="87" t="s">
        <v>127</v>
      </c>
      <c r="E167" s="88" t="str">
        <f aca="false">D167</f>
        <v>P3131</v>
      </c>
      <c r="F167" s="88" t="str">
        <f aca="false">REPLACE(E167, 1, 3, "")</f>
        <v>31</v>
      </c>
      <c r="G167" s="89" t="str">
        <f aca="true">IFERROR(VLOOKUP(B167,INDIRECT("'"&amp;$F167&amp;"'!D3:D"),1,FALSE()), "Not found")</f>
        <v>Not found</v>
      </c>
      <c r="H167" s="89" t="n">
        <f aca="true">INDIRECT("'"&amp;$F167&amp;"'!D1")</f>
        <v>0</v>
      </c>
      <c r="I167" s="89" t="str">
        <f aca="false">IFERROR(__xludf.dummyfunction("REGEXEXTRACT(ADDRESS(ROW(), 19+$H167), ""[A-Z]+"")"),"S")</f>
        <v>S</v>
      </c>
      <c r="J167" s="89" t="str">
        <f aca="false">IFERROR(__xludf.dummyfunction("REGEXEXTRACT(ADDRESS(ROW(), 25+$H167), ""[A-Z]+"")"),"Y")</f>
        <v>Y</v>
      </c>
      <c r="K167" s="89" t="str">
        <f aca="false">IFERROR(__xludf.dummyfunction("REGEXEXTRACT(ADDRESS(ROW(), 27+$H167), ""[A-Z]+"")"),"AA")</f>
        <v>AA</v>
      </c>
      <c r="L167" s="89" t="str">
        <f aca="false">IFERROR(__xludf.dummyfunction("REGEXEXTRACT(ADDRESS(ROW(), 28+$H167), ""[A-Z]+"")"),"AB")</f>
        <v>AB</v>
      </c>
      <c r="M167" s="89" t="str">
        <f aca="false">IFERROR(__xludf.dummyfunction("REGEXEXTRACT(ADDRESS(ROW(), 34+$H167), ""[A-Z]+"")"),"AH")</f>
        <v>AH</v>
      </c>
      <c r="N167" s="89" t="str">
        <f aca="false">IFERROR(__xludf.dummyfunction("REGEXEXTRACT(ADDRESS(ROW(), 37+$H167), ""[A-Z]+"")"),"AK")</f>
        <v>AK</v>
      </c>
      <c r="O167" s="89" t="str">
        <f aca="false">IFERROR(__xludf.dummyfunction("REGEXEXTRACT(ADDRESS(ROW(), 38+$H167), ""[A-Z]+"")"),"AL")</f>
        <v>AL</v>
      </c>
      <c r="P167" s="89" t="str">
        <f aca="false">IFERROR(__xludf.dummyfunction("REGEXEXTRACT(ADDRESS(ROW(), 39+$H167), ""[A-Z]+"")"),"AM")</f>
        <v>AM</v>
      </c>
      <c r="Q167" s="89" t="str">
        <f aca="false">IFERROR(__xludf.dummyfunction("REGEXEXTRACT(ADDRESS(ROW(), 40+$H167), ""[A-Z]+"")"),"AN")</f>
        <v>AN</v>
      </c>
      <c r="R167" s="89" t="n">
        <f aca="false">IFERROR(__xludf.dummyfunction("IFERROR(QUERY(INDIRECT(""'""&amp;$F167&amp;""'!C3:""&amp;Q167&amp;""""), ""SELECT ""&amp;I167&amp;"", ""&amp;J167&amp;"", ""&amp;K167&amp;"", ""&amp;L167&amp;"", ""&amp;M167&amp;"", ""&amp;N167&amp;"", ""&amp;O167&amp;"", ""&amp;P167&amp;"" WHERE '""&amp;B167&amp;""' CONTAINS D"", 0), """")"),20)</f>
        <v>20</v>
      </c>
      <c r="S167" s="89" t="n">
        <f aca="false">IFERROR(__xludf.dummyfunction("""COMPUTED_VALUE"""),20)</f>
        <v>20</v>
      </c>
      <c r="T167" s="89"/>
      <c r="U167" s="89"/>
      <c r="V167" s="89" t="n">
        <f aca="false">IFERROR(__xludf.dummyfunction("""COMPUTED_VALUE"""),10)</f>
        <v>10</v>
      </c>
      <c r="W167" s="89"/>
      <c r="X167" s="89" t="n">
        <f aca="false">IFERROR(__xludf.dummyfunction("""COMPUTED_VALUE"""),40)</f>
        <v>40</v>
      </c>
      <c r="Y167" s="89" t="n">
        <f aca="false">IFERROR(__xludf.dummyfunction("""COMPUTED_VALUE"""),90)</f>
        <v>90</v>
      </c>
    </row>
    <row r="168" customFormat="false" ht="17.9" hidden="false" customHeight="false" outlineLevel="0" collapsed="false">
      <c r="A168" s="85" t="n">
        <v>167</v>
      </c>
      <c r="B168" s="85" t="n">
        <v>407885</v>
      </c>
      <c r="C168" s="86" t="s">
        <v>267</v>
      </c>
      <c r="D168" s="87" t="s">
        <v>127</v>
      </c>
      <c r="E168" s="88" t="str">
        <f aca="false">D168</f>
        <v>P3131</v>
      </c>
      <c r="F168" s="88" t="str">
        <f aca="false">REPLACE(E168, 1, 3, "")</f>
        <v>31</v>
      </c>
      <c r="G168" s="89" t="str">
        <f aca="true">IFERROR(VLOOKUP(B168,INDIRECT("'"&amp;$F168&amp;"'!D3:D"),1,FALSE()), "Not found")</f>
        <v>Not found</v>
      </c>
      <c r="H168" s="89" t="n">
        <f aca="true">INDIRECT("'"&amp;$F168&amp;"'!D1")</f>
        <v>0</v>
      </c>
      <c r="I168" s="89" t="str">
        <f aca="false">IFERROR(__xludf.dummyfunction("REGEXEXTRACT(ADDRESS(ROW(), 19+$H168), ""[A-Z]+"")"),"S")</f>
        <v>S</v>
      </c>
      <c r="J168" s="89" t="str">
        <f aca="false">IFERROR(__xludf.dummyfunction("REGEXEXTRACT(ADDRESS(ROW(), 25+$H168), ""[A-Z]+"")"),"Y")</f>
        <v>Y</v>
      </c>
      <c r="K168" s="89" t="str">
        <f aca="false">IFERROR(__xludf.dummyfunction("REGEXEXTRACT(ADDRESS(ROW(), 27+$H168), ""[A-Z]+"")"),"AA")</f>
        <v>AA</v>
      </c>
      <c r="L168" s="89" t="str">
        <f aca="false">IFERROR(__xludf.dummyfunction("REGEXEXTRACT(ADDRESS(ROW(), 28+$H168), ""[A-Z]+"")"),"AB")</f>
        <v>AB</v>
      </c>
      <c r="M168" s="89" t="str">
        <f aca="false">IFERROR(__xludf.dummyfunction("REGEXEXTRACT(ADDRESS(ROW(), 34+$H168), ""[A-Z]+"")"),"AH")</f>
        <v>AH</v>
      </c>
      <c r="N168" s="89" t="str">
        <f aca="false">IFERROR(__xludf.dummyfunction("REGEXEXTRACT(ADDRESS(ROW(), 37+$H168), ""[A-Z]+"")"),"AK")</f>
        <v>AK</v>
      </c>
      <c r="O168" s="89" t="str">
        <f aca="false">IFERROR(__xludf.dummyfunction("REGEXEXTRACT(ADDRESS(ROW(), 38+$H168), ""[A-Z]+"")"),"AL")</f>
        <v>AL</v>
      </c>
      <c r="P168" s="89" t="str">
        <f aca="false">IFERROR(__xludf.dummyfunction("REGEXEXTRACT(ADDRESS(ROW(), 39+$H168), ""[A-Z]+"")"),"AM")</f>
        <v>AM</v>
      </c>
      <c r="Q168" s="89" t="str">
        <f aca="false">IFERROR(__xludf.dummyfunction("REGEXEXTRACT(ADDRESS(ROW(), 40+$H168), ""[A-Z]+"")"),"AN")</f>
        <v>AN</v>
      </c>
      <c r="R168" s="89" t="n">
        <f aca="false">IFERROR(__xludf.dummyfunction("IFERROR(QUERY(INDIRECT(""'""&amp;$F168&amp;""'!C3:""&amp;Q168&amp;""""), ""SELECT ""&amp;I168&amp;"", ""&amp;J168&amp;"", ""&amp;K168&amp;"", ""&amp;L168&amp;"", ""&amp;M168&amp;"", ""&amp;N168&amp;"", ""&amp;O168&amp;"", ""&amp;P168&amp;"" WHERE '""&amp;B168&amp;""' CONTAINS D"", 0), """")"),15)</f>
        <v>15</v>
      </c>
      <c r="S168" s="89" t="n">
        <f aca="false">IFERROR(__xludf.dummyfunction("""COMPUTED_VALUE"""),13)</f>
        <v>13</v>
      </c>
      <c r="T168" s="89"/>
      <c r="U168" s="89"/>
      <c r="V168" s="89" t="n">
        <f aca="false">IFERROR(__xludf.dummyfunction("""COMPUTED_VALUE"""),12)</f>
        <v>12</v>
      </c>
      <c r="W168" s="89"/>
      <c r="X168" s="89" t="n">
        <f aca="false">IFERROR(__xludf.dummyfunction("""COMPUTED_VALUE"""),24)</f>
        <v>24</v>
      </c>
      <c r="Y168" s="89" t="n">
        <f aca="false">IFERROR(__xludf.dummyfunction("""COMPUTED_VALUE"""),64)</f>
        <v>64</v>
      </c>
    </row>
    <row r="169" customFormat="false" ht="17.9" hidden="false" customHeight="false" outlineLevel="0" collapsed="false">
      <c r="A169" s="85" t="n">
        <v>168</v>
      </c>
      <c r="B169" s="85" t="n">
        <v>466468</v>
      </c>
      <c r="C169" s="86" t="s">
        <v>268</v>
      </c>
      <c r="D169" s="87" t="s">
        <v>83</v>
      </c>
      <c r="E169" s="88" t="str">
        <f aca="false">D169</f>
        <v>P3109</v>
      </c>
      <c r="F169" s="88" t="str">
        <f aca="false">REPLACE(E169, 1, 3, "")</f>
        <v>09</v>
      </c>
      <c r="G169" s="89" t="str">
        <f aca="true">IFERROR(VLOOKUP(B169,INDIRECT("'"&amp;$F169&amp;"'!D3:D"),1,FALSE()), "Not found")</f>
        <v>Not found</v>
      </c>
      <c r="H169" s="89" t="n">
        <f aca="true">INDIRECT("'"&amp;$F169&amp;"'!D1")</f>
        <v>0</v>
      </c>
      <c r="I169" s="89" t="str">
        <f aca="false">IFERROR(__xludf.dummyfunction("REGEXEXTRACT(ADDRESS(ROW(), 19+$H169), ""[A-Z]+"")"),"S")</f>
        <v>S</v>
      </c>
      <c r="J169" s="89" t="str">
        <f aca="false">IFERROR(__xludf.dummyfunction("REGEXEXTRACT(ADDRESS(ROW(), 25+$H169), ""[A-Z]+"")"),"Y")</f>
        <v>Y</v>
      </c>
      <c r="K169" s="89" t="str">
        <f aca="false">IFERROR(__xludf.dummyfunction("REGEXEXTRACT(ADDRESS(ROW(), 27+$H169), ""[A-Z]+"")"),"AA")</f>
        <v>AA</v>
      </c>
      <c r="L169" s="89" t="str">
        <f aca="false">IFERROR(__xludf.dummyfunction("REGEXEXTRACT(ADDRESS(ROW(), 28+$H169), ""[A-Z]+"")"),"AB")</f>
        <v>AB</v>
      </c>
      <c r="M169" s="89" t="str">
        <f aca="false">IFERROR(__xludf.dummyfunction("REGEXEXTRACT(ADDRESS(ROW(), 34+$H169), ""[A-Z]+"")"),"AH")</f>
        <v>AH</v>
      </c>
      <c r="N169" s="89" t="str">
        <f aca="false">IFERROR(__xludf.dummyfunction("REGEXEXTRACT(ADDRESS(ROW(), 37+$H169), ""[A-Z]+"")"),"AK")</f>
        <v>AK</v>
      </c>
      <c r="O169" s="89" t="str">
        <f aca="false">IFERROR(__xludf.dummyfunction("REGEXEXTRACT(ADDRESS(ROW(), 38+$H169), ""[A-Z]+"")"),"AL")</f>
        <v>AL</v>
      </c>
      <c r="P169" s="89" t="str">
        <f aca="false">IFERROR(__xludf.dummyfunction("REGEXEXTRACT(ADDRESS(ROW(), 39+$H169), ""[A-Z]+"")"),"AM")</f>
        <v>AM</v>
      </c>
      <c r="Q169" s="89" t="str">
        <f aca="false">IFERROR(__xludf.dummyfunction("REGEXEXTRACT(ADDRESS(ROW(), 40+$H169), ""[A-Z]+"")"),"AN")</f>
        <v>AN</v>
      </c>
      <c r="R169" s="89" t="n">
        <f aca="false">IFERROR(__xludf.dummyfunction("IFERROR(QUERY(INDIRECT(""'""&amp;$F169&amp;""'!C3:""&amp;Q169&amp;""""), ""SELECT ""&amp;I169&amp;"", ""&amp;J169&amp;"", ""&amp;K169&amp;"", ""&amp;L169&amp;"", ""&amp;M169&amp;"", ""&amp;N169&amp;"", ""&amp;O169&amp;"", ""&amp;P169&amp;"" WHERE '""&amp;B169&amp;""' CONTAINS D"", 0), """")"),17.1)</f>
        <v>17.1</v>
      </c>
      <c r="S169" s="89" t="n">
        <f aca="false">IFERROR(__xludf.dummyfunction("""COMPUTED_VALUE"""),20)</f>
        <v>20</v>
      </c>
      <c r="T169" s="89"/>
      <c r="U169" s="89"/>
      <c r="V169" s="89" t="n">
        <f aca="false">IFERROR(__xludf.dummyfunction("""COMPUTED_VALUE"""),10)</f>
        <v>10</v>
      </c>
      <c r="W169" s="89"/>
      <c r="X169" s="89" t="n">
        <f aca="false">IFERROR(__xludf.dummyfunction("""COMPUTED_VALUE"""),40)</f>
        <v>40</v>
      </c>
      <c r="Y169" s="89" t="n">
        <f aca="false">IFERROR(__xludf.dummyfunction("""COMPUTED_VALUE"""),87.1)</f>
        <v>87.1</v>
      </c>
    </row>
    <row r="170" customFormat="false" ht="17.9" hidden="false" customHeight="false" outlineLevel="0" collapsed="false">
      <c r="A170" s="85" t="n">
        <v>169</v>
      </c>
      <c r="B170" s="85" t="n">
        <v>466472</v>
      </c>
      <c r="C170" s="86" t="s">
        <v>269</v>
      </c>
      <c r="D170" s="87" t="s">
        <v>85</v>
      </c>
      <c r="E170" s="88" t="str">
        <f aca="false">D170</f>
        <v>P3132</v>
      </c>
      <c r="F170" s="88" t="str">
        <f aca="false">REPLACE(E170, 1, 3, "")</f>
        <v>32</v>
      </c>
      <c r="G170" s="89" t="str">
        <f aca="true">IFERROR(VLOOKUP(B170,INDIRECT("'"&amp;$F170&amp;"'!D3:D"),1,FALSE()), "Not found")</f>
        <v>Not found</v>
      </c>
      <c r="H170" s="89" t="n">
        <f aca="true">INDIRECT("'"&amp;$F170&amp;"'!D1")</f>
        <v>0</v>
      </c>
      <c r="I170" s="89" t="str">
        <f aca="false">IFERROR(__xludf.dummyfunction("REGEXEXTRACT(ADDRESS(ROW(), 19+$H170), ""[A-Z]+"")"),"S")</f>
        <v>S</v>
      </c>
      <c r="J170" s="89" t="str">
        <f aca="false">IFERROR(__xludf.dummyfunction("REGEXEXTRACT(ADDRESS(ROW(), 25+$H170), ""[A-Z]+"")"),"Y")</f>
        <v>Y</v>
      </c>
      <c r="K170" s="89" t="str">
        <f aca="false">IFERROR(__xludf.dummyfunction("REGEXEXTRACT(ADDRESS(ROW(), 27+$H170), ""[A-Z]+"")"),"AA")</f>
        <v>AA</v>
      </c>
      <c r="L170" s="89" t="str">
        <f aca="false">IFERROR(__xludf.dummyfunction("REGEXEXTRACT(ADDRESS(ROW(), 28+$H170), ""[A-Z]+"")"),"AB")</f>
        <v>AB</v>
      </c>
      <c r="M170" s="89" t="str">
        <f aca="false">IFERROR(__xludf.dummyfunction("REGEXEXTRACT(ADDRESS(ROW(), 34+$H170), ""[A-Z]+"")"),"AH")</f>
        <v>AH</v>
      </c>
      <c r="N170" s="89" t="str">
        <f aca="false">IFERROR(__xludf.dummyfunction("REGEXEXTRACT(ADDRESS(ROW(), 37+$H170), ""[A-Z]+"")"),"AK")</f>
        <v>AK</v>
      </c>
      <c r="O170" s="89" t="str">
        <f aca="false">IFERROR(__xludf.dummyfunction("REGEXEXTRACT(ADDRESS(ROW(), 38+$H170), ""[A-Z]+"")"),"AL")</f>
        <v>AL</v>
      </c>
      <c r="P170" s="89" t="str">
        <f aca="false">IFERROR(__xludf.dummyfunction("REGEXEXTRACT(ADDRESS(ROW(), 39+$H170), ""[A-Z]+"")"),"AM")</f>
        <v>AM</v>
      </c>
      <c r="Q170" s="89" t="str">
        <f aca="false">IFERROR(__xludf.dummyfunction("REGEXEXTRACT(ADDRESS(ROW(), 40+$H170), ""[A-Z]+"")"),"AN")</f>
        <v>AN</v>
      </c>
      <c r="R170" s="89" t="n">
        <f aca="false">IFERROR(__xludf.dummyfunction("IFERROR(QUERY(INDIRECT(""'""&amp;$F170&amp;""'!C3:""&amp;Q170&amp;""""), ""SELECT ""&amp;I170&amp;"", ""&amp;J170&amp;"", ""&amp;K170&amp;"", ""&amp;L170&amp;"", ""&amp;M170&amp;"", ""&amp;N170&amp;"", ""&amp;O170&amp;"", ""&amp;P170&amp;"" WHERE '""&amp;B170&amp;""' CONTAINS D"", 0), """")"),14)</f>
        <v>14</v>
      </c>
      <c r="S170" s="89" t="n">
        <f aca="false">IFERROR(__xludf.dummyfunction("""COMPUTED_VALUE"""),18)</f>
        <v>18</v>
      </c>
      <c r="T170" s="89"/>
      <c r="U170" s="89"/>
      <c r="V170" s="89" t="n">
        <f aca="false">IFERROR(__xludf.dummyfunction("""COMPUTED_VALUE"""),10)</f>
        <v>10</v>
      </c>
      <c r="W170" s="89"/>
      <c r="X170" s="89" t="n">
        <f aca="false">IFERROR(__xludf.dummyfunction("""COMPUTED_VALUE"""),40)</f>
        <v>40</v>
      </c>
      <c r="Y170" s="89" t="n">
        <f aca="false">IFERROR(__xludf.dummyfunction("""COMPUTED_VALUE"""),82)</f>
        <v>82</v>
      </c>
    </row>
    <row r="171" customFormat="false" ht="17.9" hidden="false" customHeight="false" outlineLevel="0" collapsed="false">
      <c r="A171" s="85" t="n">
        <v>170</v>
      </c>
      <c r="B171" s="85" t="n">
        <v>466478</v>
      </c>
      <c r="C171" s="86" t="s">
        <v>270</v>
      </c>
      <c r="D171" s="87" t="s">
        <v>157</v>
      </c>
      <c r="E171" s="88" t="str">
        <f aca="false">D171</f>
        <v>P3123</v>
      </c>
      <c r="F171" s="88" t="str">
        <f aca="false">REPLACE(E171, 1, 3, "")</f>
        <v>23</v>
      </c>
      <c r="G171" s="89" t="str">
        <f aca="true">IFERROR(VLOOKUP(B171,INDIRECT("'"&amp;$F171&amp;"'!D3:D"),1,FALSE()), "Not found")</f>
        <v>Not found</v>
      </c>
      <c r="H171" s="89" t="n">
        <f aca="true">INDIRECT("'"&amp;$F171&amp;"'!D1")</f>
        <v>1</v>
      </c>
      <c r="I171" s="89" t="str">
        <f aca="false">IFERROR(__xludf.dummyfunction("REGEXEXTRACT(ADDRESS(ROW(), 19+$H171), ""[A-Z]+"")"),"T")</f>
        <v>T</v>
      </c>
      <c r="J171" s="89" t="str">
        <f aca="false">IFERROR(__xludf.dummyfunction("REGEXEXTRACT(ADDRESS(ROW(), 25+$H171), ""[A-Z]+"")"),"Z")</f>
        <v>Z</v>
      </c>
      <c r="K171" s="89" t="str">
        <f aca="false">IFERROR(__xludf.dummyfunction("REGEXEXTRACT(ADDRESS(ROW(), 27+$H171), ""[A-Z]+"")"),"AB")</f>
        <v>AB</v>
      </c>
      <c r="L171" s="89" t="str">
        <f aca="false">IFERROR(__xludf.dummyfunction("REGEXEXTRACT(ADDRESS(ROW(), 28+$H171), ""[A-Z]+"")"),"AC")</f>
        <v>AC</v>
      </c>
      <c r="M171" s="89" t="str">
        <f aca="false">IFERROR(__xludf.dummyfunction("REGEXEXTRACT(ADDRESS(ROW(), 34+$H171), ""[A-Z]+"")"),"AI")</f>
        <v>AI</v>
      </c>
      <c r="N171" s="89" t="str">
        <f aca="false">IFERROR(__xludf.dummyfunction("REGEXEXTRACT(ADDRESS(ROW(), 37+$H171), ""[A-Z]+"")"),"AL")</f>
        <v>AL</v>
      </c>
      <c r="O171" s="89" t="str">
        <f aca="false">IFERROR(__xludf.dummyfunction("REGEXEXTRACT(ADDRESS(ROW(), 38+$H171), ""[A-Z]+"")"),"AM")</f>
        <v>AM</v>
      </c>
      <c r="P171" s="89" t="str">
        <f aca="false">IFERROR(__xludf.dummyfunction("REGEXEXTRACT(ADDRESS(ROW(), 39+$H171), ""[A-Z]+"")"),"AN")</f>
        <v>AN</v>
      </c>
      <c r="Q171" s="89" t="str">
        <f aca="false">IFERROR(__xludf.dummyfunction("REGEXEXTRACT(ADDRESS(ROW(), 40+$H171), ""[A-Z]+"")"),"AO")</f>
        <v>AO</v>
      </c>
      <c r="R171" s="89" t="n">
        <f aca="false">IFERROR(__xludf.dummyfunction("IFERROR(QUERY(INDIRECT(""'""&amp;$F171&amp;""'!C3:""&amp;Q171&amp;""""), ""SELECT ""&amp;I171&amp;"", ""&amp;J171&amp;"", ""&amp;K171&amp;"", ""&amp;L171&amp;"", ""&amp;M171&amp;"", ""&amp;N171&amp;"", ""&amp;O171&amp;"", ""&amp;P171&amp;"" WHERE '""&amp;B171&amp;""' CONTAINS D"", 0), """")"),15)</f>
        <v>15</v>
      </c>
      <c r="S171" s="89" t="n">
        <f aca="false">IFERROR(__xludf.dummyfunction("""COMPUTED_VALUE"""),12)</f>
        <v>12</v>
      </c>
      <c r="T171" s="89"/>
      <c r="U171" s="89"/>
      <c r="V171" s="89" t="n">
        <f aca="false">IFERROR(__xludf.dummyfunction("""COMPUTED_VALUE"""),6)</f>
        <v>6</v>
      </c>
      <c r="W171" s="89"/>
      <c r="X171" s="89" t="n">
        <f aca="false">IFERROR(__xludf.dummyfunction("""COMPUTED_VALUE"""),27.5)</f>
        <v>27.5</v>
      </c>
      <c r="Y171" s="89" t="n">
        <f aca="false">IFERROR(__xludf.dummyfunction("""COMPUTED_VALUE"""),60.5)</f>
        <v>60.5</v>
      </c>
    </row>
    <row r="172" customFormat="false" ht="17.9" hidden="false" customHeight="false" outlineLevel="0" collapsed="false">
      <c r="A172" s="85" t="n">
        <v>171</v>
      </c>
      <c r="B172" s="85" t="n">
        <v>466481</v>
      </c>
      <c r="C172" s="86" t="s">
        <v>271</v>
      </c>
      <c r="D172" s="87" t="s">
        <v>157</v>
      </c>
      <c r="E172" s="88" t="str">
        <f aca="false">D172</f>
        <v>P3123</v>
      </c>
      <c r="F172" s="88" t="str">
        <f aca="false">REPLACE(E172, 1, 3, "")</f>
        <v>23</v>
      </c>
      <c r="G172" s="89" t="str">
        <f aca="true">IFERROR(VLOOKUP(B172,INDIRECT("'"&amp;$F172&amp;"'!D3:D"),1,FALSE()), "Not found")</f>
        <v>Not found</v>
      </c>
      <c r="H172" s="89" t="n">
        <f aca="true">INDIRECT("'"&amp;$F172&amp;"'!D1")</f>
        <v>1</v>
      </c>
      <c r="I172" s="89" t="str">
        <f aca="false">IFERROR(__xludf.dummyfunction("REGEXEXTRACT(ADDRESS(ROW(), 19+$H172), ""[A-Z]+"")"),"T")</f>
        <v>T</v>
      </c>
      <c r="J172" s="89" t="str">
        <f aca="false">IFERROR(__xludf.dummyfunction("REGEXEXTRACT(ADDRESS(ROW(), 25+$H172), ""[A-Z]+"")"),"Z")</f>
        <v>Z</v>
      </c>
      <c r="K172" s="89" t="str">
        <f aca="false">IFERROR(__xludf.dummyfunction("REGEXEXTRACT(ADDRESS(ROW(), 27+$H172), ""[A-Z]+"")"),"AB")</f>
        <v>AB</v>
      </c>
      <c r="L172" s="89" t="str">
        <f aca="false">IFERROR(__xludf.dummyfunction("REGEXEXTRACT(ADDRESS(ROW(), 28+$H172), ""[A-Z]+"")"),"AC")</f>
        <v>AC</v>
      </c>
      <c r="M172" s="89" t="str">
        <f aca="false">IFERROR(__xludf.dummyfunction("REGEXEXTRACT(ADDRESS(ROW(), 34+$H172), ""[A-Z]+"")"),"AI")</f>
        <v>AI</v>
      </c>
      <c r="N172" s="89" t="str">
        <f aca="false">IFERROR(__xludf.dummyfunction("REGEXEXTRACT(ADDRESS(ROW(), 37+$H172), ""[A-Z]+"")"),"AL")</f>
        <v>AL</v>
      </c>
      <c r="O172" s="89" t="str">
        <f aca="false">IFERROR(__xludf.dummyfunction("REGEXEXTRACT(ADDRESS(ROW(), 38+$H172), ""[A-Z]+"")"),"AM")</f>
        <v>AM</v>
      </c>
      <c r="P172" s="89" t="str">
        <f aca="false">IFERROR(__xludf.dummyfunction("REGEXEXTRACT(ADDRESS(ROW(), 39+$H172), ""[A-Z]+"")"),"AN")</f>
        <v>AN</v>
      </c>
      <c r="Q172" s="89" t="str">
        <f aca="false">IFERROR(__xludf.dummyfunction("REGEXEXTRACT(ADDRESS(ROW(), 40+$H172), ""[A-Z]+"")"),"AO")</f>
        <v>AO</v>
      </c>
      <c r="R172" s="89" t="n">
        <f aca="false">IFERROR(__xludf.dummyfunction("IFERROR(QUERY(INDIRECT(""'""&amp;$F172&amp;""'!C3:""&amp;Q172&amp;""""), ""SELECT ""&amp;I172&amp;"", ""&amp;J172&amp;"", ""&amp;K172&amp;"", ""&amp;L172&amp;"", ""&amp;M172&amp;"", ""&amp;N172&amp;"", ""&amp;O172&amp;"", ""&amp;P172&amp;"" WHERE '""&amp;B172&amp;""' CONTAINS D"", 0), """")"),13)</f>
        <v>13</v>
      </c>
      <c r="S172" s="89" t="n">
        <f aca="false">IFERROR(__xludf.dummyfunction("""COMPUTED_VALUE"""),12)</f>
        <v>12</v>
      </c>
      <c r="T172" s="89"/>
      <c r="U172" s="89"/>
      <c r="V172" s="89" t="n">
        <f aca="false">IFERROR(__xludf.dummyfunction("""COMPUTED_VALUE"""),6)</f>
        <v>6</v>
      </c>
      <c r="W172" s="89"/>
      <c r="X172" s="89" t="n">
        <f aca="false">IFERROR(__xludf.dummyfunction("""COMPUTED_VALUE"""),29.5)</f>
        <v>29.5</v>
      </c>
      <c r="Y172" s="89" t="n">
        <f aca="false">IFERROR(__xludf.dummyfunction("""COMPUTED_VALUE"""),60.5)</f>
        <v>60.5</v>
      </c>
    </row>
    <row r="173" customFormat="false" ht="17.9" hidden="false" customHeight="false" outlineLevel="0" collapsed="false">
      <c r="A173" s="85" t="n">
        <v>172</v>
      </c>
      <c r="B173" s="85" t="n">
        <v>466482</v>
      </c>
      <c r="C173" s="86" t="s">
        <v>272</v>
      </c>
      <c r="D173" s="87" t="s">
        <v>119</v>
      </c>
      <c r="E173" s="88" t="str">
        <f aca="false">D173</f>
        <v>P3121</v>
      </c>
      <c r="F173" s="88" t="str">
        <f aca="false">REPLACE(E173, 1, 3, "")</f>
        <v>21</v>
      </c>
      <c r="G173" s="89" t="str">
        <f aca="true">IFERROR(VLOOKUP(B173,INDIRECT("'"&amp;$F173&amp;"'!D3:D"),1,FALSE()), "Not found")</f>
        <v>Not found</v>
      </c>
      <c r="H173" s="89" t="n">
        <f aca="true">INDIRECT("'"&amp;$F173&amp;"'!D1")</f>
        <v>5</v>
      </c>
      <c r="I173" s="89" t="str">
        <f aca="false">IFERROR(__xludf.dummyfunction("REGEXEXTRACT(ADDRESS(ROW(), 19+$H173), ""[A-Z]+"")"),"X")</f>
        <v>X</v>
      </c>
      <c r="J173" s="89" t="str">
        <f aca="false">IFERROR(__xludf.dummyfunction("REGEXEXTRACT(ADDRESS(ROW(), 25+$H173), ""[A-Z]+"")"),"AD")</f>
        <v>AD</v>
      </c>
      <c r="K173" s="89" t="str">
        <f aca="false">IFERROR(__xludf.dummyfunction("REGEXEXTRACT(ADDRESS(ROW(), 27+$H173), ""[A-Z]+"")"),"AF")</f>
        <v>AF</v>
      </c>
      <c r="L173" s="89" t="str">
        <f aca="false">IFERROR(__xludf.dummyfunction("REGEXEXTRACT(ADDRESS(ROW(), 28+$H173), ""[A-Z]+"")"),"AG")</f>
        <v>AG</v>
      </c>
      <c r="M173" s="89" t="str">
        <f aca="false">IFERROR(__xludf.dummyfunction("REGEXEXTRACT(ADDRESS(ROW(), 34+$H173), ""[A-Z]+"")"),"AM")</f>
        <v>AM</v>
      </c>
      <c r="N173" s="89" t="str">
        <f aca="false">IFERROR(__xludf.dummyfunction("REGEXEXTRACT(ADDRESS(ROW(), 37+$H173), ""[A-Z]+"")"),"AP")</f>
        <v>AP</v>
      </c>
      <c r="O173" s="89" t="str">
        <f aca="false">IFERROR(__xludf.dummyfunction("REGEXEXTRACT(ADDRESS(ROW(), 38+$H173), ""[A-Z]+"")"),"AQ")</f>
        <v>AQ</v>
      </c>
      <c r="P173" s="89" t="str">
        <f aca="false">IFERROR(__xludf.dummyfunction("REGEXEXTRACT(ADDRESS(ROW(), 39+$H173), ""[A-Z]+"")"),"AR")</f>
        <v>AR</v>
      </c>
      <c r="Q173" s="89" t="str">
        <f aca="false">IFERROR(__xludf.dummyfunction("REGEXEXTRACT(ADDRESS(ROW(), 40+$H173), ""[A-Z]+"")"),"AS")</f>
        <v>AS</v>
      </c>
      <c r="R173" s="89" t="n">
        <f aca="false">IFERROR(__xludf.dummyfunction("IFERROR(QUERY(INDIRECT(""'""&amp;$F173&amp;""'!C3:""&amp;Q173&amp;""""), ""SELECT ""&amp;I173&amp;"", ""&amp;J173&amp;"", ""&amp;K173&amp;"", ""&amp;L173&amp;"", ""&amp;M173&amp;"", ""&amp;N173&amp;"", ""&amp;O173&amp;"", ""&amp;P173&amp;"" WHERE '""&amp;B173&amp;""' CONTAINS D"", 0), """")"),17)</f>
        <v>17</v>
      </c>
      <c r="S173" s="89" t="n">
        <f aca="false">IFERROR(__xludf.dummyfunction("""COMPUTED_VALUE"""),20)</f>
        <v>20</v>
      </c>
      <c r="T173" s="89"/>
      <c r="U173" s="89"/>
      <c r="V173" s="89" t="n">
        <f aca="false">IFERROR(__xludf.dummyfunction("""COMPUTED_VALUE"""),10)</f>
        <v>10</v>
      </c>
      <c r="W173" s="89"/>
      <c r="X173" s="89" t="n">
        <f aca="false">IFERROR(__xludf.dummyfunction("""COMPUTED_VALUE"""),40)</f>
        <v>40</v>
      </c>
      <c r="Y173" s="89" t="n">
        <f aca="false">IFERROR(__xludf.dummyfunction("""COMPUTED_VALUE"""),87)</f>
        <v>87</v>
      </c>
    </row>
    <row r="174" customFormat="false" ht="17.9" hidden="false" customHeight="false" outlineLevel="0" collapsed="false">
      <c r="A174" s="85" t="n">
        <v>173</v>
      </c>
      <c r="B174" s="85" t="n">
        <v>466490</v>
      </c>
      <c r="C174" s="86" t="s">
        <v>273</v>
      </c>
      <c r="D174" s="87" t="s">
        <v>127</v>
      </c>
      <c r="E174" s="88" t="str">
        <f aca="false">D174</f>
        <v>P3131</v>
      </c>
      <c r="F174" s="88" t="str">
        <f aca="false">REPLACE(E174, 1, 3, "")</f>
        <v>31</v>
      </c>
      <c r="G174" s="89" t="str">
        <f aca="true">IFERROR(VLOOKUP(B174,INDIRECT("'"&amp;$F174&amp;"'!D3:D"),1,FALSE()), "Not found")</f>
        <v>Not found</v>
      </c>
      <c r="H174" s="89" t="n">
        <f aca="true">INDIRECT("'"&amp;$F174&amp;"'!D1")</f>
        <v>0</v>
      </c>
      <c r="I174" s="89" t="str">
        <f aca="false">IFERROR(__xludf.dummyfunction("REGEXEXTRACT(ADDRESS(ROW(), 19+$H174), ""[A-Z]+"")"),"S")</f>
        <v>S</v>
      </c>
      <c r="J174" s="89" t="str">
        <f aca="false">IFERROR(__xludf.dummyfunction("REGEXEXTRACT(ADDRESS(ROW(), 25+$H174), ""[A-Z]+"")"),"Y")</f>
        <v>Y</v>
      </c>
      <c r="K174" s="89" t="str">
        <f aca="false">IFERROR(__xludf.dummyfunction("REGEXEXTRACT(ADDRESS(ROW(), 27+$H174), ""[A-Z]+"")"),"AA")</f>
        <v>AA</v>
      </c>
      <c r="L174" s="89" t="str">
        <f aca="false">IFERROR(__xludf.dummyfunction("REGEXEXTRACT(ADDRESS(ROW(), 28+$H174), ""[A-Z]+"")"),"AB")</f>
        <v>AB</v>
      </c>
      <c r="M174" s="89" t="str">
        <f aca="false">IFERROR(__xludf.dummyfunction("REGEXEXTRACT(ADDRESS(ROW(), 34+$H174), ""[A-Z]+"")"),"AH")</f>
        <v>AH</v>
      </c>
      <c r="N174" s="89" t="str">
        <f aca="false">IFERROR(__xludf.dummyfunction("REGEXEXTRACT(ADDRESS(ROW(), 37+$H174), ""[A-Z]+"")"),"AK")</f>
        <v>AK</v>
      </c>
      <c r="O174" s="89" t="str">
        <f aca="false">IFERROR(__xludf.dummyfunction("REGEXEXTRACT(ADDRESS(ROW(), 38+$H174), ""[A-Z]+"")"),"AL")</f>
        <v>AL</v>
      </c>
      <c r="P174" s="89" t="str">
        <f aca="false">IFERROR(__xludf.dummyfunction("REGEXEXTRACT(ADDRESS(ROW(), 39+$H174), ""[A-Z]+"")"),"AM")</f>
        <v>AM</v>
      </c>
      <c r="Q174" s="89" t="str">
        <f aca="false">IFERROR(__xludf.dummyfunction("REGEXEXTRACT(ADDRESS(ROW(), 40+$H174), ""[A-Z]+"")"),"AN")</f>
        <v>AN</v>
      </c>
      <c r="R174" s="89" t="n">
        <f aca="false">IFERROR(__xludf.dummyfunction("IFERROR(QUERY(INDIRECT(""'""&amp;$F174&amp;""'!C3:""&amp;Q174&amp;""""), ""SELECT ""&amp;I174&amp;"", ""&amp;J174&amp;"", ""&amp;K174&amp;"", ""&amp;L174&amp;"", ""&amp;M174&amp;"", ""&amp;N174&amp;"", ""&amp;O174&amp;"", ""&amp;P174&amp;"" WHERE '""&amp;B174&amp;""' CONTAINS D"", 0), """")"),12)</f>
        <v>12</v>
      </c>
      <c r="S174" s="89" t="n">
        <f aca="false">IFERROR(__xludf.dummyfunction("""COMPUTED_VALUE"""),12)</f>
        <v>12</v>
      </c>
      <c r="T174" s="89"/>
      <c r="U174" s="89"/>
      <c r="V174" s="89" t="n">
        <f aca="false">IFERROR(__xludf.dummyfunction("""COMPUTED_VALUE"""),6)</f>
        <v>6</v>
      </c>
      <c r="W174" s="89"/>
      <c r="X174" s="89"/>
      <c r="Y174" s="89" t="n">
        <f aca="false">IFERROR(__xludf.dummyfunction("""COMPUTED_VALUE"""),30)</f>
        <v>30</v>
      </c>
    </row>
    <row r="175" customFormat="false" ht="17.9" hidden="false" customHeight="false" outlineLevel="0" collapsed="false">
      <c r="A175" s="85" t="n">
        <v>174</v>
      </c>
      <c r="B175" s="85" t="n">
        <v>472154</v>
      </c>
      <c r="C175" s="86" t="s">
        <v>274</v>
      </c>
      <c r="D175" s="87" t="s">
        <v>157</v>
      </c>
      <c r="E175" s="88" t="str">
        <f aca="false">D175</f>
        <v>P3123</v>
      </c>
      <c r="F175" s="88" t="str">
        <f aca="false">REPLACE(E175, 1, 3, "")</f>
        <v>23</v>
      </c>
      <c r="G175" s="89" t="str">
        <f aca="true">IFERROR(VLOOKUP(B175,INDIRECT("'"&amp;$F175&amp;"'!D3:D"),1,FALSE()), "Not found")</f>
        <v>Not found</v>
      </c>
      <c r="H175" s="89" t="n">
        <f aca="true">INDIRECT("'"&amp;$F175&amp;"'!D1")</f>
        <v>1</v>
      </c>
      <c r="I175" s="89" t="str">
        <f aca="false">IFERROR(__xludf.dummyfunction("REGEXEXTRACT(ADDRESS(ROW(), 19+$H175), ""[A-Z]+"")"),"T")</f>
        <v>T</v>
      </c>
      <c r="J175" s="89" t="str">
        <f aca="false">IFERROR(__xludf.dummyfunction("REGEXEXTRACT(ADDRESS(ROW(), 25+$H175), ""[A-Z]+"")"),"Z")</f>
        <v>Z</v>
      </c>
      <c r="K175" s="89" t="str">
        <f aca="false">IFERROR(__xludf.dummyfunction("REGEXEXTRACT(ADDRESS(ROW(), 27+$H175), ""[A-Z]+"")"),"AB")</f>
        <v>AB</v>
      </c>
      <c r="L175" s="89" t="str">
        <f aca="false">IFERROR(__xludf.dummyfunction("REGEXEXTRACT(ADDRESS(ROW(), 28+$H175), ""[A-Z]+"")"),"AC")</f>
        <v>AC</v>
      </c>
      <c r="M175" s="89" t="str">
        <f aca="false">IFERROR(__xludf.dummyfunction("REGEXEXTRACT(ADDRESS(ROW(), 34+$H175), ""[A-Z]+"")"),"AI")</f>
        <v>AI</v>
      </c>
      <c r="N175" s="89" t="str">
        <f aca="false">IFERROR(__xludf.dummyfunction("REGEXEXTRACT(ADDRESS(ROW(), 37+$H175), ""[A-Z]+"")"),"AL")</f>
        <v>AL</v>
      </c>
      <c r="O175" s="89" t="str">
        <f aca="false">IFERROR(__xludf.dummyfunction("REGEXEXTRACT(ADDRESS(ROW(), 38+$H175), ""[A-Z]+"")"),"AM")</f>
        <v>AM</v>
      </c>
      <c r="P175" s="89" t="str">
        <f aca="false">IFERROR(__xludf.dummyfunction("REGEXEXTRACT(ADDRESS(ROW(), 39+$H175), ""[A-Z]+"")"),"AN")</f>
        <v>AN</v>
      </c>
      <c r="Q175" s="89" t="str">
        <f aca="false">IFERROR(__xludf.dummyfunction("REGEXEXTRACT(ADDRESS(ROW(), 40+$H175), ""[A-Z]+"")"),"AO")</f>
        <v>AO</v>
      </c>
      <c r="R175" s="89" t="n">
        <f aca="false">IFERROR(__xludf.dummyfunction("IFERROR(QUERY(INDIRECT(""'""&amp;$F175&amp;""'!C3:""&amp;Q175&amp;""""), ""SELECT ""&amp;I175&amp;"", ""&amp;J175&amp;"", ""&amp;K175&amp;"", ""&amp;L175&amp;"", ""&amp;M175&amp;"", ""&amp;N175&amp;"", ""&amp;O175&amp;"", ""&amp;P175&amp;"" WHERE '""&amp;B175&amp;""' CONTAINS D"", 0), """")"),18)</f>
        <v>18</v>
      </c>
      <c r="S175" s="89" t="n">
        <f aca="false">IFERROR(__xludf.dummyfunction("""COMPUTED_VALUE"""),18)</f>
        <v>18</v>
      </c>
      <c r="T175" s="89"/>
      <c r="U175" s="89"/>
      <c r="V175" s="89" t="n">
        <f aca="false">IFERROR(__xludf.dummyfunction("""COMPUTED_VALUE"""),8)</f>
        <v>8</v>
      </c>
      <c r="W175" s="89"/>
      <c r="X175" s="89" t="n">
        <f aca="false">IFERROR(__xludf.dummyfunction("""COMPUTED_VALUE"""),40)</f>
        <v>40</v>
      </c>
      <c r="Y175" s="89" t="n">
        <f aca="false">IFERROR(__xludf.dummyfunction("""COMPUTED_VALUE"""),84)</f>
        <v>84</v>
      </c>
    </row>
    <row r="176" customFormat="false" ht="17.9" hidden="false" customHeight="false" outlineLevel="0" collapsed="false">
      <c r="A176" s="85" t="n">
        <v>175</v>
      </c>
      <c r="B176" s="85" t="n">
        <v>367349</v>
      </c>
      <c r="C176" s="86" t="s">
        <v>275</v>
      </c>
      <c r="D176" s="87" t="s">
        <v>91</v>
      </c>
      <c r="E176" s="88" t="str">
        <f aca="false">D176</f>
        <v>P3111</v>
      </c>
      <c r="F176" s="88" t="str">
        <f aca="false">REPLACE(E176, 1, 3, "")</f>
        <v>11</v>
      </c>
      <c r="G176" s="89" t="str">
        <f aca="true">IFERROR(VLOOKUP(B176,INDIRECT("'"&amp;$F176&amp;"'!D3:D"),1,FALSE()), "Not found")</f>
        <v>Not found</v>
      </c>
      <c r="H176" s="89" t="n">
        <f aca="true">INDIRECT("'"&amp;$F176&amp;"'!D1")</f>
        <v>0</v>
      </c>
      <c r="I176" s="89" t="str">
        <f aca="false">IFERROR(__xludf.dummyfunction("REGEXEXTRACT(ADDRESS(ROW(), 19+$H176), ""[A-Z]+"")"),"S")</f>
        <v>S</v>
      </c>
      <c r="J176" s="89" t="str">
        <f aca="false">IFERROR(__xludf.dummyfunction("REGEXEXTRACT(ADDRESS(ROW(), 25+$H176), ""[A-Z]+"")"),"Y")</f>
        <v>Y</v>
      </c>
      <c r="K176" s="89" t="str">
        <f aca="false">IFERROR(__xludf.dummyfunction("REGEXEXTRACT(ADDRESS(ROW(), 27+$H176), ""[A-Z]+"")"),"AA")</f>
        <v>AA</v>
      </c>
      <c r="L176" s="89" t="str">
        <f aca="false">IFERROR(__xludf.dummyfunction("REGEXEXTRACT(ADDRESS(ROW(), 28+$H176), ""[A-Z]+"")"),"AB")</f>
        <v>AB</v>
      </c>
      <c r="M176" s="89" t="str">
        <f aca="false">IFERROR(__xludf.dummyfunction("REGEXEXTRACT(ADDRESS(ROW(), 34+$H176), ""[A-Z]+"")"),"AH")</f>
        <v>AH</v>
      </c>
      <c r="N176" s="89" t="str">
        <f aca="false">IFERROR(__xludf.dummyfunction("REGEXEXTRACT(ADDRESS(ROW(), 37+$H176), ""[A-Z]+"")"),"AK")</f>
        <v>AK</v>
      </c>
      <c r="O176" s="89" t="str">
        <f aca="false">IFERROR(__xludf.dummyfunction("REGEXEXTRACT(ADDRESS(ROW(), 38+$H176), ""[A-Z]+"")"),"AL")</f>
        <v>AL</v>
      </c>
      <c r="P176" s="89" t="str">
        <f aca="false">IFERROR(__xludf.dummyfunction("REGEXEXTRACT(ADDRESS(ROW(), 39+$H176), ""[A-Z]+"")"),"AM")</f>
        <v>AM</v>
      </c>
      <c r="Q176" s="89" t="str">
        <f aca="false">IFERROR(__xludf.dummyfunction("REGEXEXTRACT(ADDRESS(ROW(), 40+$H176), ""[A-Z]+"")"),"AN")</f>
        <v>AN</v>
      </c>
      <c r="R176" s="89" t="str">
        <f aca="false">IFERROR(__xludf.dummyfunction("IFERROR(QUERY(INDIRECT(""'""&amp;$F176&amp;""'!C3:""&amp;Q176&amp;""""), ""SELECT ""&amp;I176&amp;"", ""&amp;J176&amp;"", ""&amp;K176&amp;"", ""&amp;L176&amp;"", ""&amp;M176&amp;"", ""&amp;N176&amp;"", ""&amp;O176&amp;"", ""&amp;P176&amp;"" WHERE '""&amp;B176&amp;""' CONTAINS D"", 0), """")"),"")</f>
        <v/>
      </c>
      <c r="S176" s="89"/>
      <c r="T176" s="89"/>
      <c r="U176" s="89"/>
      <c r="V176" s="89" t="n">
        <f aca="false">IFERROR(__xludf.dummyfunction("""COMPUTED_VALUE"""),0)</f>
        <v>0</v>
      </c>
      <c r="W176" s="89"/>
      <c r="X176" s="89"/>
      <c r="Y176" s="89" t="n">
        <f aca="false">IFERROR(__xludf.dummyfunction("""COMPUTED_VALUE"""),0)</f>
        <v>0</v>
      </c>
    </row>
    <row r="177" customFormat="false" ht="17.9" hidden="false" customHeight="false" outlineLevel="0" collapsed="false">
      <c r="A177" s="85" t="n">
        <v>176</v>
      </c>
      <c r="B177" s="85" t="n">
        <v>466495</v>
      </c>
      <c r="C177" s="86" t="s">
        <v>276</v>
      </c>
      <c r="D177" s="87" t="s">
        <v>100</v>
      </c>
      <c r="E177" s="88" t="str">
        <f aca="false">D177</f>
        <v>P3112</v>
      </c>
      <c r="F177" s="88" t="str">
        <f aca="false">REPLACE(E177, 1, 3, "")</f>
        <v>12</v>
      </c>
      <c r="G177" s="89" t="str">
        <f aca="true">IFERROR(VLOOKUP(B177,INDIRECT("'"&amp;$F177&amp;"'!D3:D"),1,FALSE()), "Not found")</f>
        <v>Not found</v>
      </c>
      <c r="H177" s="89" t="n">
        <f aca="true">INDIRECT("'"&amp;$F177&amp;"'!D1")</f>
        <v>0</v>
      </c>
      <c r="I177" s="89" t="str">
        <f aca="false">IFERROR(__xludf.dummyfunction("REGEXEXTRACT(ADDRESS(ROW(), 19+$H177), ""[A-Z]+"")"),"S")</f>
        <v>S</v>
      </c>
      <c r="J177" s="89" t="str">
        <f aca="false">IFERROR(__xludf.dummyfunction("REGEXEXTRACT(ADDRESS(ROW(), 25+$H177), ""[A-Z]+"")"),"Y")</f>
        <v>Y</v>
      </c>
      <c r="K177" s="89" t="str">
        <f aca="false">IFERROR(__xludf.dummyfunction("REGEXEXTRACT(ADDRESS(ROW(), 27+$H177), ""[A-Z]+"")"),"AA")</f>
        <v>AA</v>
      </c>
      <c r="L177" s="89" t="str">
        <f aca="false">IFERROR(__xludf.dummyfunction("REGEXEXTRACT(ADDRESS(ROW(), 28+$H177), ""[A-Z]+"")"),"AB")</f>
        <v>AB</v>
      </c>
      <c r="M177" s="89" t="str">
        <f aca="false">IFERROR(__xludf.dummyfunction("REGEXEXTRACT(ADDRESS(ROW(), 34+$H177), ""[A-Z]+"")"),"AH")</f>
        <v>AH</v>
      </c>
      <c r="N177" s="89" t="str">
        <f aca="false">IFERROR(__xludf.dummyfunction("REGEXEXTRACT(ADDRESS(ROW(), 37+$H177), ""[A-Z]+"")"),"AK")</f>
        <v>AK</v>
      </c>
      <c r="O177" s="89" t="str">
        <f aca="false">IFERROR(__xludf.dummyfunction("REGEXEXTRACT(ADDRESS(ROW(), 38+$H177), ""[A-Z]+"")"),"AL")</f>
        <v>AL</v>
      </c>
      <c r="P177" s="89" t="str">
        <f aca="false">IFERROR(__xludf.dummyfunction("REGEXEXTRACT(ADDRESS(ROW(), 39+$H177), ""[A-Z]+"")"),"AM")</f>
        <v>AM</v>
      </c>
      <c r="Q177" s="89" t="str">
        <f aca="false">IFERROR(__xludf.dummyfunction("REGEXEXTRACT(ADDRESS(ROW(), 40+$H177), ""[A-Z]+"")"),"AN")</f>
        <v>AN</v>
      </c>
      <c r="R177" s="89" t="n">
        <f aca="false">IFERROR(__xludf.dummyfunction("IFERROR(QUERY(INDIRECT(""'""&amp;$F177&amp;""'!C3:""&amp;Q177&amp;""""), ""SELECT ""&amp;I177&amp;"", ""&amp;J177&amp;"", ""&amp;K177&amp;"", ""&amp;L177&amp;"", ""&amp;M177&amp;"", ""&amp;N177&amp;"", ""&amp;O177&amp;"", ""&amp;P177&amp;"" WHERE '""&amp;B177&amp;""' CONTAINS D"", 0), """")"),17)</f>
        <v>17</v>
      </c>
      <c r="S177" s="89" t="n">
        <f aca="false">IFERROR(__xludf.dummyfunction("""COMPUTED_VALUE"""),18)</f>
        <v>18</v>
      </c>
      <c r="T177" s="89"/>
      <c r="U177" s="89"/>
      <c r="V177" s="89" t="n">
        <f aca="false">IFERROR(__xludf.dummyfunction("""COMPUTED_VALUE"""),10)</f>
        <v>10</v>
      </c>
      <c r="W177" s="89"/>
      <c r="X177" s="89" t="n">
        <f aca="false">IFERROR(__xludf.dummyfunction("""COMPUTED_VALUE"""),40)</f>
        <v>40</v>
      </c>
      <c r="Y177" s="89" t="n">
        <f aca="false">IFERROR(__xludf.dummyfunction("""COMPUTED_VALUE"""),85)</f>
        <v>85</v>
      </c>
    </row>
    <row r="178" customFormat="false" ht="17.9" hidden="false" customHeight="false" outlineLevel="0" collapsed="false">
      <c r="A178" s="85" t="n">
        <v>177</v>
      </c>
      <c r="B178" s="85" t="n">
        <v>466497</v>
      </c>
      <c r="C178" s="86" t="s">
        <v>277</v>
      </c>
      <c r="D178" s="87" t="s">
        <v>146</v>
      </c>
      <c r="E178" s="88" t="str">
        <f aca="false">D178</f>
        <v>P3113</v>
      </c>
      <c r="F178" s="88" t="str">
        <f aca="false">REPLACE(E178, 1, 3, "")</f>
        <v>13</v>
      </c>
      <c r="G178" s="89" t="str">
        <f aca="true">IFERROR(VLOOKUP(B178,INDIRECT("'"&amp;$F178&amp;"'!D3:D"),1,FALSE()), "Not found")</f>
        <v>Not found</v>
      </c>
      <c r="H178" s="89" t="n">
        <f aca="true">INDIRECT("'"&amp;$F178&amp;"'!D1")</f>
        <v>0</v>
      </c>
      <c r="I178" s="89" t="str">
        <f aca="false">IFERROR(__xludf.dummyfunction("REGEXEXTRACT(ADDRESS(ROW(), 19+$H178), ""[A-Z]+"")"),"S")</f>
        <v>S</v>
      </c>
      <c r="J178" s="89" t="str">
        <f aca="false">IFERROR(__xludf.dummyfunction("REGEXEXTRACT(ADDRESS(ROW(), 25+$H178), ""[A-Z]+"")"),"Y")</f>
        <v>Y</v>
      </c>
      <c r="K178" s="89" t="str">
        <f aca="false">IFERROR(__xludf.dummyfunction("REGEXEXTRACT(ADDRESS(ROW(), 27+$H178), ""[A-Z]+"")"),"AA")</f>
        <v>AA</v>
      </c>
      <c r="L178" s="89" t="str">
        <f aca="false">IFERROR(__xludf.dummyfunction("REGEXEXTRACT(ADDRESS(ROW(), 28+$H178), ""[A-Z]+"")"),"AB")</f>
        <v>AB</v>
      </c>
      <c r="M178" s="89" t="str">
        <f aca="false">IFERROR(__xludf.dummyfunction("REGEXEXTRACT(ADDRESS(ROW(), 34+$H178), ""[A-Z]+"")"),"AH")</f>
        <v>AH</v>
      </c>
      <c r="N178" s="89" t="str">
        <f aca="false">IFERROR(__xludf.dummyfunction("REGEXEXTRACT(ADDRESS(ROW(), 37+$H178), ""[A-Z]+"")"),"AK")</f>
        <v>AK</v>
      </c>
      <c r="O178" s="89" t="str">
        <f aca="false">IFERROR(__xludf.dummyfunction("REGEXEXTRACT(ADDRESS(ROW(), 38+$H178), ""[A-Z]+"")"),"AL")</f>
        <v>AL</v>
      </c>
      <c r="P178" s="89" t="str">
        <f aca="false">IFERROR(__xludf.dummyfunction("REGEXEXTRACT(ADDRESS(ROW(), 39+$H178), ""[A-Z]+"")"),"AM")</f>
        <v>AM</v>
      </c>
      <c r="Q178" s="89" t="str">
        <f aca="false">IFERROR(__xludf.dummyfunction("REGEXEXTRACT(ADDRESS(ROW(), 40+$H178), ""[A-Z]+"")"),"AN")</f>
        <v>AN</v>
      </c>
      <c r="R178" s="89" t="n">
        <f aca="false">IFERROR(__xludf.dummyfunction("IFERROR(QUERY(INDIRECT(""'""&amp;$F178&amp;""'!C3:""&amp;Q178&amp;""""), ""SELECT ""&amp;I178&amp;"", ""&amp;J178&amp;"", ""&amp;K178&amp;"", ""&amp;L178&amp;"", ""&amp;M178&amp;"", ""&amp;N178&amp;"", ""&amp;O178&amp;"", ""&amp;P178&amp;"" WHERE '""&amp;B178&amp;""' CONTAINS D"", 0), """")"),17)</f>
        <v>17</v>
      </c>
      <c r="S178" s="89" t="n">
        <f aca="false">IFERROR(__xludf.dummyfunction("""COMPUTED_VALUE"""),18)</f>
        <v>18</v>
      </c>
      <c r="T178" s="89"/>
      <c r="U178" s="89"/>
      <c r="V178" s="89" t="n">
        <f aca="false">IFERROR(__xludf.dummyfunction("""COMPUTED_VALUE"""),9)</f>
        <v>9</v>
      </c>
      <c r="W178" s="89"/>
      <c r="X178" s="89" t="n">
        <f aca="false">IFERROR(__xludf.dummyfunction("""COMPUTED_VALUE"""),40)</f>
        <v>40</v>
      </c>
      <c r="Y178" s="89" t="n">
        <f aca="false">IFERROR(__xludf.dummyfunction("""COMPUTED_VALUE"""),84)</f>
        <v>84</v>
      </c>
    </row>
    <row r="179" customFormat="false" ht="17.9" hidden="false" customHeight="false" outlineLevel="0" collapsed="false">
      <c r="A179" s="85" t="n">
        <v>178</v>
      </c>
      <c r="B179" s="85" t="n">
        <v>472157</v>
      </c>
      <c r="C179" s="86" t="s">
        <v>278</v>
      </c>
      <c r="D179" s="87" t="s">
        <v>146</v>
      </c>
      <c r="E179" s="88" t="str">
        <f aca="false">D179</f>
        <v>P3113</v>
      </c>
      <c r="F179" s="88" t="str">
        <f aca="false">REPLACE(E179, 1, 3, "")</f>
        <v>13</v>
      </c>
      <c r="G179" s="89" t="str">
        <f aca="true">IFERROR(VLOOKUP(B179,INDIRECT("'"&amp;$F179&amp;"'!D3:D"),1,FALSE()), "Not found")</f>
        <v>Not found</v>
      </c>
      <c r="H179" s="89" t="n">
        <f aca="true">INDIRECT("'"&amp;$F179&amp;"'!D1")</f>
        <v>0</v>
      </c>
      <c r="I179" s="89" t="str">
        <f aca="false">IFERROR(__xludf.dummyfunction("REGEXEXTRACT(ADDRESS(ROW(), 19+$H179), ""[A-Z]+"")"),"S")</f>
        <v>S</v>
      </c>
      <c r="J179" s="89" t="str">
        <f aca="false">IFERROR(__xludf.dummyfunction("REGEXEXTRACT(ADDRESS(ROW(), 25+$H179), ""[A-Z]+"")"),"Y")</f>
        <v>Y</v>
      </c>
      <c r="K179" s="89" t="str">
        <f aca="false">IFERROR(__xludf.dummyfunction("REGEXEXTRACT(ADDRESS(ROW(), 27+$H179), ""[A-Z]+"")"),"AA")</f>
        <v>AA</v>
      </c>
      <c r="L179" s="89" t="str">
        <f aca="false">IFERROR(__xludf.dummyfunction("REGEXEXTRACT(ADDRESS(ROW(), 28+$H179), ""[A-Z]+"")"),"AB")</f>
        <v>AB</v>
      </c>
      <c r="M179" s="89" t="str">
        <f aca="false">IFERROR(__xludf.dummyfunction("REGEXEXTRACT(ADDRESS(ROW(), 34+$H179), ""[A-Z]+"")"),"AH")</f>
        <v>AH</v>
      </c>
      <c r="N179" s="89" t="str">
        <f aca="false">IFERROR(__xludf.dummyfunction("REGEXEXTRACT(ADDRESS(ROW(), 37+$H179), ""[A-Z]+"")"),"AK")</f>
        <v>AK</v>
      </c>
      <c r="O179" s="89" t="str">
        <f aca="false">IFERROR(__xludf.dummyfunction("REGEXEXTRACT(ADDRESS(ROW(), 38+$H179), ""[A-Z]+"")"),"AL")</f>
        <v>AL</v>
      </c>
      <c r="P179" s="89" t="str">
        <f aca="false">IFERROR(__xludf.dummyfunction("REGEXEXTRACT(ADDRESS(ROW(), 39+$H179), ""[A-Z]+"")"),"AM")</f>
        <v>AM</v>
      </c>
      <c r="Q179" s="89" t="str">
        <f aca="false">IFERROR(__xludf.dummyfunction("REGEXEXTRACT(ADDRESS(ROW(), 40+$H179), ""[A-Z]+"")"),"AN")</f>
        <v>AN</v>
      </c>
      <c r="R179" s="89" t="n">
        <f aca="false">IFERROR(__xludf.dummyfunction("IFERROR(QUERY(INDIRECT(""'""&amp;$F179&amp;""'!C3:""&amp;Q179&amp;""""), ""SELECT ""&amp;I179&amp;"", ""&amp;J179&amp;"", ""&amp;K179&amp;"", ""&amp;L179&amp;"", ""&amp;M179&amp;"", ""&amp;N179&amp;"", ""&amp;O179&amp;"", ""&amp;P179&amp;"" WHERE '""&amp;B179&amp;""' CONTAINS D"", 0), """")"),20)</f>
        <v>20</v>
      </c>
      <c r="S179" s="89" t="n">
        <f aca="false">IFERROR(__xludf.dummyfunction("""COMPUTED_VALUE"""),19)</f>
        <v>19</v>
      </c>
      <c r="T179" s="89"/>
      <c r="U179" s="89"/>
      <c r="V179" s="89" t="n">
        <f aca="false">IFERROR(__xludf.dummyfunction("""COMPUTED_VALUE"""),8)</f>
        <v>8</v>
      </c>
      <c r="W179" s="89" t="n">
        <f aca="false">IFERROR(__xludf.dummyfunction("""COMPUTED_VALUE"""),3)</f>
        <v>3</v>
      </c>
      <c r="X179" s="89" t="n">
        <f aca="false">IFERROR(__xludf.dummyfunction("""COMPUTED_VALUE"""),40)</f>
        <v>40</v>
      </c>
      <c r="Y179" s="89" t="n">
        <f aca="false">IFERROR(__xludf.dummyfunction("""COMPUTED_VALUE"""),90)</f>
        <v>90</v>
      </c>
    </row>
    <row r="180" customFormat="false" ht="17.9" hidden="false" customHeight="false" outlineLevel="0" collapsed="false">
      <c r="A180" s="85" t="n">
        <v>179</v>
      </c>
      <c r="B180" s="85" t="n">
        <v>472158</v>
      </c>
      <c r="C180" s="86" t="s">
        <v>279</v>
      </c>
      <c r="D180" s="87" t="s">
        <v>81</v>
      </c>
      <c r="E180" s="88" t="str">
        <f aca="false">D180</f>
        <v>P3108</v>
      </c>
      <c r="F180" s="88" t="str">
        <f aca="false">REPLACE(E180, 1, 3, "")</f>
        <v>08</v>
      </c>
      <c r="G180" s="89" t="str">
        <f aca="true">IFERROR(VLOOKUP(B180,INDIRECT("'"&amp;$F180&amp;"'!D3:D"),1,FALSE()), "Not found")</f>
        <v>Not found</v>
      </c>
      <c r="H180" s="89" t="n">
        <f aca="true">INDIRECT("'"&amp;$F180&amp;"'!D1")</f>
        <v>0</v>
      </c>
      <c r="I180" s="89" t="str">
        <f aca="false">IFERROR(__xludf.dummyfunction("REGEXEXTRACT(ADDRESS(ROW(), 19+$H180), ""[A-Z]+"")"),"S")</f>
        <v>S</v>
      </c>
      <c r="J180" s="89" t="str">
        <f aca="false">IFERROR(__xludf.dummyfunction("REGEXEXTRACT(ADDRESS(ROW(), 25+$H180), ""[A-Z]+"")"),"Y")</f>
        <v>Y</v>
      </c>
      <c r="K180" s="89" t="str">
        <f aca="false">IFERROR(__xludf.dummyfunction("REGEXEXTRACT(ADDRESS(ROW(), 27+$H180), ""[A-Z]+"")"),"AA")</f>
        <v>AA</v>
      </c>
      <c r="L180" s="89" t="str">
        <f aca="false">IFERROR(__xludf.dummyfunction("REGEXEXTRACT(ADDRESS(ROW(), 28+$H180), ""[A-Z]+"")"),"AB")</f>
        <v>AB</v>
      </c>
      <c r="M180" s="89" t="str">
        <f aca="false">IFERROR(__xludf.dummyfunction("REGEXEXTRACT(ADDRESS(ROW(), 34+$H180), ""[A-Z]+"")"),"AH")</f>
        <v>AH</v>
      </c>
      <c r="N180" s="89" t="str">
        <f aca="false">IFERROR(__xludf.dummyfunction("REGEXEXTRACT(ADDRESS(ROW(), 37+$H180), ""[A-Z]+"")"),"AK")</f>
        <v>AK</v>
      </c>
      <c r="O180" s="89" t="str">
        <f aca="false">IFERROR(__xludf.dummyfunction("REGEXEXTRACT(ADDRESS(ROW(), 38+$H180), ""[A-Z]+"")"),"AL")</f>
        <v>AL</v>
      </c>
      <c r="P180" s="89" t="str">
        <f aca="false">IFERROR(__xludf.dummyfunction("REGEXEXTRACT(ADDRESS(ROW(), 39+$H180), ""[A-Z]+"")"),"AM")</f>
        <v>AM</v>
      </c>
      <c r="Q180" s="89" t="str">
        <f aca="false">IFERROR(__xludf.dummyfunction("REGEXEXTRACT(ADDRESS(ROW(), 40+$H180), ""[A-Z]+"")"),"AN")</f>
        <v>AN</v>
      </c>
      <c r="R180" s="89" t="str">
        <f aca="false">IFERROR(__xludf.dummyfunction("IFERROR(QUERY(INDIRECT(""'""&amp;$F180&amp;""'!C3:""&amp;Q180&amp;""""), ""SELECT ""&amp;I180&amp;"", ""&amp;J180&amp;"", ""&amp;K180&amp;"", ""&amp;L180&amp;"", ""&amp;M180&amp;"", ""&amp;N180&amp;"", ""&amp;O180&amp;"", ""&amp;P180&amp;"" WHERE '""&amp;B180&amp;""' CONTAINS D"", 0), """")"),"")</f>
        <v/>
      </c>
      <c r="S180" s="89"/>
      <c r="T180" s="89"/>
      <c r="U180" s="89"/>
      <c r="V180" s="89" t="n">
        <f aca="false">IFERROR(__xludf.dummyfunction("""COMPUTED_VALUE"""),10)</f>
        <v>10</v>
      </c>
      <c r="W180" s="89"/>
      <c r="X180" s="89"/>
      <c r="Y180" s="89" t="n">
        <f aca="false">IFERROR(__xludf.dummyfunction("""COMPUTED_VALUE"""),10)</f>
        <v>10</v>
      </c>
    </row>
    <row r="181" customFormat="false" ht="17.9" hidden="false" customHeight="false" outlineLevel="0" collapsed="false">
      <c r="A181" s="85" t="n">
        <v>180</v>
      </c>
      <c r="B181" s="85" t="n">
        <v>466501</v>
      </c>
      <c r="C181" s="86" t="s">
        <v>280</v>
      </c>
      <c r="D181" s="87" t="s">
        <v>93</v>
      </c>
      <c r="E181" s="88" t="str">
        <f aca="false">D181</f>
        <v>P3114</v>
      </c>
      <c r="F181" s="88" t="str">
        <f aca="false">REPLACE(E181, 1, 3, "")</f>
        <v>14</v>
      </c>
      <c r="G181" s="89" t="str">
        <f aca="true">IFERROR(VLOOKUP(B181,INDIRECT("'"&amp;$F181&amp;"'!D3:D"),1,FALSE()), "Not found")</f>
        <v>Not found</v>
      </c>
      <c r="H181" s="89" t="n">
        <f aca="true">INDIRECT("'"&amp;$F181&amp;"'!D1")</f>
        <v>0</v>
      </c>
      <c r="I181" s="89" t="str">
        <f aca="false">IFERROR(__xludf.dummyfunction("REGEXEXTRACT(ADDRESS(ROW(), 19+$H181), ""[A-Z]+"")"),"S")</f>
        <v>S</v>
      </c>
      <c r="J181" s="89" t="str">
        <f aca="false">IFERROR(__xludf.dummyfunction("REGEXEXTRACT(ADDRESS(ROW(), 25+$H181), ""[A-Z]+"")"),"Y")</f>
        <v>Y</v>
      </c>
      <c r="K181" s="89" t="str">
        <f aca="false">IFERROR(__xludf.dummyfunction("REGEXEXTRACT(ADDRESS(ROW(), 27+$H181), ""[A-Z]+"")"),"AA")</f>
        <v>AA</v>
      </c>
      <c r="L181" s="89" t="str">
        <f aca="false">IFERROR(__xludf.dummyfunction("REGEXEXTRACT(ADDRESS(ROW(), 28+$H181), ""[A-Z]+"")"),"AB")</f>
        <v>AB</v>
      </c>
      <c r="M181" s="89" t="str">
        <f aca="false">IFERROR(__xludf.dummyfunction("REGEXEXTRACT(ADDRESS(ROW(), 34+$H181), ""[A-Z]+"")"),"AH")</f>
        <v>AH</v>
      </c>
      <c r="N181" s="89" t="str">
        <f aca="false">IFERROR(__xludf.dummyfunction("REGEXEXTRACT(ADDRESS(ROW(), 37+$H181), ""[A-Z]+"")"),"AK")</f>
        <v>AK</v>
      </c>
      <c r="O181" s="89" t="str">
        <f aca="false">IFERROR(__xludf.dummyfunction("REGEXEXTRACT(ADDRESS(ROW(), 38+$H181), ""[A-Z]+"")"),"AL")</f>
        <v>AL</v>
      </c>
      <c r="P181" s="89" t="str">
        <f aca="false">IFERROR(__xludf.dummyfunction("REGEXEXTRACT(ADDRESS(ROW(), 39+$H181), ""[A-Z]+"")"),"AM")</f>
        <v>AM</v>
      </c>
      <c r="Q181" s="89" t="str">
        <f aca="false">IFERROR(__xludf.dummyfunction("REGEXEXTRACT(ADDRESS(ROW(), 40+$H181), ""[A-Z]+"")"),"AN")</f>
        <v>AN</v>
      </c>
      <c r="R181" s="89" t="n">
        <f aca="false">IFERROR(__xludf.dummyfunction("IFERROR(QUERY(INDIRECT(""'""&amp;$F181&amp;""'!C3:""&amp;Q181&amp;""""), ""SELECT ""&amp;I181&amp;"", ""&amp;J181&amp;"", ""&amp;K181&amp;"", ""&amp;L181&amp;"", ""&amp;M181&amp;"", ""&amp;N181&amp;"", ""&amp;O181&amp;"", ""&amp;P181&amp;"" WHERE '""&amp;B181&amp;""' CONTAINS D"", 0), """")"),17)</f>
        <v>17</v>
      </c>
      <c r="S181" s="89" t="n">
        <f aca="false">IFERROR(__xludf.dummyfunction("""COMPUTED_VALUE"""),16)</f>
        <v>16</v>
      </c>
      <c r="T181" s="89"/>
      <c r="U181" s="89"/>
      <c r="V181" s="89" t="n">
        <f aca="false">IFERROR(__xludf.dummyfunction("""COMPUTED_VALUE"""),8)</f>
        <v>8</v>
      </c>
      <c r="W181" s="89"/>
      <c r="X181" s="89" t="n">
        <f aca="false">IFERROR(__xludf.dummyfunction("""COMPUTED_VALUE"""),40)</f>
        <v>40</v>
      </c>
      <c r="Y181" s="89" t="n">
        <f aca="false">IFERROR(__xludf.dummyfunction("""COMPUTED_VALUE"""),81)</f>
        <v>81</v>
      </c>
    </row>
    <row r="182" customFormat="false" ht="17.9" hidden="false" customHeight="false" outlineLevel="0" collapsed="false">
      <c r="A182" s="85" t="n">
        <v>181</v>
      </c>
      <c r="B182" s="85" t="n">
        <v>466513</v>
      </c>
      <c r="C182" s="86" t="s">
        <v>281</v>
      </c>
      <c r="D182" s="87" t="s">
        <v>125</v>
      </c>
      <c r="E182" s="88" t="str">
        <f aca="false">D182</f>
        <v>P3115</v>
      </c>
      <c r="F182" s="88" t="str">
        <f aca="false">REPLACE(E182, 1, 3, "")</f>
        <v>15</v>
      </c>
      <c r="G182" s="89" t="str">
        <f aca="true">IFERROR(VLOOKUP(B182,INDIRECT("'"&amp;$F182&amp;"'!D3:D"),1,FALSE()), "Not found")</f>
        <v>Not found</v>
      </c>
      <c r="H182" s="89" t="n">
        <f aca="true">INDIRECT("'"&amp;$F182&amp;"'!D1")</f>
        <v>1</v>
      </c>
      <c r="I182" s="89" t="str">
        <f aca="false">IFERROR(__xludf.dummyfunction("REGEXEXTRACT(ADDRESS(ROW(), 19+$H182), ""[A-Z]+"")"),"T")</f>
        <v>T</v>
      </c>
      <c r="J182" s="89" t="str">
        <f aca="false">IFERROR(__xludf.dummyfunction("REGEXEXTRACT(ADDRESS(ROW(), 25+$H182), ""[A-Z]+"")"),"Z")</f>
        <v>Z</v>
      </c>
      <c r="K182" s="89" t="str">
        <f aca="false">IFERROR(__xludf.dummyfunction("REGEXEXTRACT(ADDRESS(ROW(), 27+$H182), ""[A-Z]+"")"),"AB")</f>
        <v>AB</v>
      </c>
      <c r="L182" s="89" t="str">
        <f aca="false">IFERROR(__xludf.dummyfunction("REGEXEXTRACT(ADDRESS(ROW(), 28+$H182), ""[A-Z]+"")"),"AC")</f>
        <v>AC</v>
      </c>
      <c r="M182" s="89" t="str">
        <f aca="false">IFERROR(__xludf.dummyfunction("REGEXEXTRACT(ADDRESS(ROW(), 34+$H182), ""[A-Z]+"")"),"AI")</f>
        <v>AI</v>
      </c>
      <c r="N182" s="89" t="str">
        <f aca="false">IFERROR(__xludf.dummyfunction("REGEXEXTRACT(ADDRESS(ROW(), 37+$H182), ""[A-Z]+"")"),"AL")</f>
        <v>AL</v>
      </c>
      <c r="O182" s="89" t="str">
        <f aca="false">IFERROR(__xludf.dummyfunction("REGEXEXTRACT(ADDRESS(ROW(), 38+$H182), ""[A-Z]+"")"),"AM")</f>
        <v>AM</v>
      </c>
      <c r="P182" s="89" t="str">
        <f aca="false">IFERROR(__xludf.dummyfunction("REGEXEXTRACT(ADDRESS(ROW(), 39+$H182), ""[A-Z]+"")"),"AN")</f>
        <v>AN</v>
      </c>
      <c r="Q182" s="89" t="str">
        <f aca="false">IFERROR(__xludf.dummyfunction("REGEXEXTRACT(ADDRESS(ROW(), 40+$H182), ""[A-Z]+"")"),"AO")</f>
        <v>AO</v>
      </c>
      <c r="R182" s="89" t="n">
        <f aca="false">IFERROR(__xludf.dummyfunction("IFERROR(QUERY(INDIRECT(""'""&amp;$F182&amp;""'!C3:""&amp;Q182&amp;""""), ""SELECT ""&amp;I182&amp;"", ""&amp;J182&amp;"", ""&amp;K182&amp;"", ""&amp;L182&amp;"", ""&amp;M182&amp;"", ""&amp;N182&amp;"", ""&amp;O182&amp;"", ""&amp;P182&amp;"" WHERE '""&amp;B182&amp;""' CONTAINS D"", 0), """")"),18.5)</f>
        <v>18.5</v>
      </c>
      <c r="S182" s="89" t="n">
        <f aca="false">IFERROR(__xludf.dummyfunction("""COMPUTED_VALUE"""),18)</f>
        <v>18</v>
      </c>
      <c r="T182" s="89"/>
      <c r="U182" s="89"/>
      <c r="V182" s="89" t="n">
        <f aca="false">IFERROR(__xludf.dummyfunction("""COMPUTED_VALUE"""),10)</f>
        <v>10</v>
      </c>
      <c r="W182" s="89"/>
      <c r="X182" s="89" t="n">
        <f aca="false">IFERROR(__xludf.dummyfunction("""COMPUTED_VALUE"""),40)</f>
        <v>40</v>
      </c>
      <c r="Y182" s="89" t="n">
        <f aca="false">IFERROR(__xludf.dummyfunction("""COMPUTED_VALUE"""),86.5)</f>
        <v>86.5</v>
      </c>
    </row>
    <row r="183" customFormat="false" ht="17.9" hidden="false" customHeight="false" outlineLevel="0" collapsed="false">
      <c r="A183" s="85" t="n">
        <v>182</v>
      </c>
      <c r="B183" s="85" t="n">
        <v>475153</v>
      </c>
      <c r="C183" s="86" t="s">
        <v>282</v>
      </c>
      <c r="D183" s="87" t="s">
        <v>100</v>
      </c>
      <c r="E183" s="88" t="str">
        <f aca="false">D183</f>
        <v>P3112</v>
      </c>
      <c r="F183" s="88" t="str">
        <f aca="false">REPLACE(E183, 1, 3, "")</f>
        <v>12</v>
      </c>
      <c r="G183" s="89" t="str">
        <f aca="true">IFERROR(VLOOKUP(B183,INDIRECT("'"&amp;$F183&amp;"'!D3:D"),1,FALSE()), "Not found")</f>
        <v>Not found</v>
      </c>
      <c r="H183" s="89" t="n">
        <f aca="true">INDIRECT("'"&amp;$F183&amp;"'!D1")</f>
        <v>0</v>
      </c>
      <c r="I183" s="89" t="str">
        <f aca="false">IFERROR(__xludf.dummyfunction("REGEXEXTRACT(ADDRESS(ROW(), 19+$H183), ""[A-Z]+"")"),"S")</f>
        <v>S</v>
      </c>
      <c r="J183" s="89" t="str">
        <f aca="false">IFERROR(__xludf.dummyfunction("REGEXEXTRACT(ADDRESS(ROW(), 25+$H183), ""[A-Z]+"")"),"Y")</f>
        <v>Y</v>
      </c>
      <c r="K183" s="89" t="str">
        <f aca="false">IFERROR(__xludf.dummyfunction("REGEXEXTRACT(ADDRESS(ROW(), 27+$H183), ""[A-Z]+"")"),"AA")</f>
        <v>AA</v>
      </c>
      <c r="L183" s="89" t="str">
        <f aca="false">IFERROR(__xludf.dummyfunction("REGEXEXTRACT(ADDRESS(ROW(), 28+$H183), ""[A-Z]+"")"),"AB")</f>
        <v>AB</v>
      </c>
      <c r="M183" s="89" t="str">
        <f aca="false">IFERROR(__xludf.dummyfunction("REGEXEXTRACT(ADDRESS(ROW(), 34+$H183), ""[A-Z]+"")"),"AH")</f>
        <v>AH</v>
      </c>
      <c r="N183" s="89" t="str">
        <f aca="false">IFERROR(__xludf.dummyfunction("REGEXEXTRACT(ADDRESS(ROW(), 37+$H183), ""[A-Z]+"")"),"AK")</f>
        <v>AK</v>
      </c>
      <c r="O183" s="89" t="str">
        <f aca="false">IFERROR(__xludf.dummyfunction("REGEXEXTRACT(ADDRESS(ROW(), 38+$H183), ""[A-Z]+"")"),"AL")</f>
        <v>AL</v>
      </c>
      <c r="P183" s="89" t="str">
        <f aca="false">IFERROR(__xludf.dummyfunction("REGEXEXTRACT(ADDRESS(ROW(), 39+$H183), ""[A-Z]+"")"),"AM")</f>
        <v>AM</v>
      </c>
      <c r="Q183" s="89" t="str">
        <f aca="false">IFERROR(__xludf.dummyfunction("REGEXEXTRACT(ADDRESS(ROW(), 40+$H183), ""[A-Z]+"")"),"AN")</f>
        <v>AN</v>
      </c>
      <c r="R183" s="89" t="n">
        <f aca="false">IFERROR(__xludf.dummyfunction("IFERROR(QUERY(INDIRECT(""'""&amp;$F183&amp;""'!C3:""&amp;Q183&amp;""""), ""SELECT ""&amp;I183&amp;"", ""&amp;J183&amp;"", ""&amp;K183&amp;"", ""&amp;L183&amp;"", ""&amp;M183&amp;"", ""&amp;N183&amp;"", ""&amp;O183&amp;"", ""&amp;P183&amp;"" WHERE '""&amp;B183&amp;""' CONTAINS D"", 0), """")"),14)</f>
        <v>14</v>
      </c>
      <c r="S183" s="89" t="n">
        <f aca="false">IFERROR(__xludf.dummyfunction("""COMPUTED_VALUE"""),12)</f>
        <v>12</v>
      </c>
      <c r="T183" s="89"/>
      <c r="U183" s="89"/>
      <c r="V183" s="89" t="n">
        <f aca="false">IFERROR(__xludf.dummyfunction("""COMPUTED_VALUE"""),6)</f>
        <v>6</v>
      </c>
      <c r="W183" s="89"/>
      <c r="X183" s="89" t="n">
        <f aca="false">IFERROR(__xludf.dummyfunction("""COMPUTED_VALUE"""),28)</f>
        <v>28</v>
      </c>
      <c r="Y183" s="89" t="n">
        <f aca="false">IFERROR(__xludf.dummyfunction("""COMPUTED_VALUE"""),60)</f>
        <v>60</v>
      </c>
    </row>
    <row r="184" customFormat="false" ht="17.9" hidden="false" customHeight="false" outlineLevel="0" collapsed="false">
      <c r="A184" s="85" t="n">
        <v>183</v>
      </c>
      <c r="B184" s="85" t="n">
        <v>466520</v>
      </c>
      <c r="C184" s="86" t="s">
        <v>283</v>
      </c>
      <c r="D184" s="87" t="s">
        <v>183</v>
      </c>
      <c r="E184" s="88" t="str">
        <f aca="false">D184</f>
        <v>P3107</v>
      </c>
      <c r="F184" s="88" t="str">
        <f aca="false">REPLACE(E184, 1, 3, "")</f>
        <v>07</v>
      </c>
      <c r="G184" s="89" t="str">
        <f aca="true">IFERROR(VLOOKUP(B184,INDIRECT("'"&amp;$F184&amp;"'!D3:D"),1,FALSE()), "Not found")</f>
        <v>Not found</v>
      </c>
      <c r="H184" s="89" t="n">
        <f aca="true">INDIRECT("'"&amp;$F184&amp;"'!D1")</f>
        <v>0</v>
      </c>
      <c r="I184" s="89" t="str">
        <f aca="false">IFERROR(__xludf.dummyfunction("REGEXEXTRACT(ADDRESS(ROW(), 19+$H184), ""[A-Z]+"")"),"S")</f>
        <v>S</v>
      </c>
      <c r="J184" s="89" t="str">
        <f aca="false">IFERROR(__xludf.dummyfunction("REGEXEXTRACT(ADDRESS(ROW(), 25+$H184), ""[A-Z]+"")"),"Y")</f>
        <v>Y</v>
      </c>
      <c r="K184" s="89" t="str">
        <f aca="false">IFERROR(__xludf.dummyfunction("REGEXEXTRACT(ADDRESS(ROW(), 27+$H184), ""[A-Z]+"")"),"AA")</f>
        <v>AA</v>
      </c>
      <c r="L184" s="89" t="str">
        <f aca="false">IFERROR(__xludf.dummyfunction("REGEXEXTRACT(ADDRESS(ROW(), 28+$H184), ""[A-Z]+"")"),"AB")</f>
        <v>AB</v>
      </c>
      <c r="M184" s="89" t="str">
        <f aca="false">IFERROR(__xludf.dummyfunction("REGEXEXTRACT(ADDRESS(ROW(), 34+$H184), ""[A-Z]+"")"),"AH")</f>
        <v>AH</v>
      </c>
      <c r="N184" s="89" t="str">
        <f aca="false">IFERROR(__xludf.dummyfunction("REGEXEXTRACT(ADDRESS(ROW(), 37+$H184), ""[A-Z]+"")"),"AK")</f>
        <v>AK</v>
      </c>
      <c r="O184" s="89" t="str">
        <f aca="false">IFERROR(__xludf.dummyfunction("REGEXEXTRACT(ADDRESS(ROW(), 38+$H184), ""[A-Z]+"")"),"AL")</f>
        <v>AL</v>
      </c>
      <c r="P184" s="89" t="str">
        <f aca="false">IFERROR(__xludf.dummyfunction("REGEXEXTRACT(ADDRESS(ROW(), 39+$H184), ""[A-Z]+"")"),"AM")</f>
        <v>AM</v>
      </c>
      <c r="Q184" s="89" t="str">
        <f aca="false">IFERROR(__xludf.dummyfunction("REGEXEXTRACT(ADDRESS(ROW(), 40+$H184), ""[A-Z]+"")"),"AN")</f>
        <v>AN</v>
      </c>
      <c r="R184" s="89" t="n">
        <f aca="false">IFERROR(__xludf.dummyfunction("IFERROR(QUERY(INDIRECT(""'""&amp;$F184&amp;""'!C3:""&amp;Q184&amp;""""), ""SELECT ""&amp;I184&amp;"", ""&amp;J184&amp;"", ""&amp;K184&amp;"", ""&amp;L184&amp;"", ""&amp;M184&amp;"", ""&amp;N184&amp;"", ""&amp;O184&amp;"", ""&amp;P184&amp;"" WHERE '""&amp;B184&amp;""' CONTAINS D"", 0), """")"),16)</f>
        <v>16</v>
      </c>
      <c r="S184" s="89" t="n">
        <f aca="false">IFERROR(__xludf.dummyfunction("""COMPUTED_VALUE"""),12)</f>
        <v>12</v>
      </c>
      <c r="T184" s="89"/>
      <c r="U184" s="89"/>
      <c r="V184" s="89" t="n">
        <f aca="false">IFERROR(__xludf.dummyfunction("""COMPUTED_VALUE"""),6.5)</f>
        <v>6.5</v>
      </c>
      <c r="W184" s="89"/>
      <c r="X184" s="89" t="n">
        <f aca="false">IFERROR(__xludf.dummyfunction("""COMPUTED_VALUE"""),40)</f>
        <v>40</v>
      </c>
      <c r="Y184" s="89" t="n">
        <f aca="false">IFERROR(__xludf.dummyfunction("""COMPUTED_VALUE"""),74.5)</f>
        <v>74.5</v>
      </c>
    </row>
    <row r="185" customFormat="false" ht="17.9" hidden="false" customHeight="false" outlineLevel="0" collapsed="false">
      <c r="A185" s="85" t="n">
        <v>184</v>
      </c>
      <c r="B185" s="85" t="n">
        <v>466537</v>
      </c>
      <c r="C185" s="86" t="s">
        <v>284</v>
      </c>
      <c r="D185" s="87" t="s">
        <v>117</v>
      </c>
      <c r="E185" s="88" t="str">
        <f aca="false">D185</f>
        <v>P3116</v>
      </c>
      <c r="F185" s="88" t="str">
        <f aca="false">REPLACE(E185, 1, 3, "")</f>
        <v>16</v>
      </c>
      <c r="G185" s="89" t="str">
        <f aca="true">IFERROR(VLOOKUP(B185,INDIRECT("'"&amp;$F185&amp;"'!D3:D"),1,FALSE()), "Not found")</f>
        <v>Not found</v>
      </c>
      <c r="H185" s="89" t="n">
        <f aca="true">INDIRECT("'"&amp;$F185&amp;"'!D1")</f>
        <v>0</v>
      </c>
      <c r="I185" s="89" t="str">
        <f aca="false">IFERROR(__xludf.dummyfunction("REGEXEXTRACT(ADDRESS(ROW(), 19+$H185), ""[A-Z]+"")"),"S")</f>
        <v>S</v>
      </c>
      <c r="J185" s="89" t="str">
        <f aca="false">IFERROR(__xludf.dummyfunction("REGEXEXTRACT(ADDRESS(ROW(), 25+$H185), ""[A-Z]+"")"),"Y")</f>
        <v>Y</v>
      </c>
      <c r="K185" s="89" t="str">
        <f aca="false">IFERROR(__xludf.dummyfunction("REGEXEXTRACT(ADDRESS(ROW(), 27+$H185), ""[A-Z]+"")"),"AA")</f>
        <v>AA</v>
      </c>
      <c r="L185" s="89" t="str">
        <f aca="false">IFERROR(__xludf.dummyfunction("REGEXEXTRACT(ADDRESS(ROW(), 28+$H185), ""[A-Z]+"")"),"AB")</f>
        <v>AB</v>
      </c>
      <c r="M185" s="89" t="str">
        <f aca="false">IFERROR(__xludf.dummyfunction("REGEXEXTRACT(ADDRESS(ROW(), 34+$H185), ""[A-Z]+"")"),"AH")</f>
        <v>AH</v>
      </c>
      <c r="N185" s="89" t="str">
        <f aca="false">IFERROR(__xludf.dummyfunction("REGEXEXTRACT(ADDRESS(ROW(), 37+$H185), ""[A-Z]+"")"),"AK")</f>
        <v>AK</v>
      </c>
      <c r="O185" s="89" t="str">
        <f aca="false">IFERROR(__xludf.dummyfunction("REGEXEXTRACT(ADDRESS(ROW(), 38+$H185), ""[A-Z]+"")"),"AL")</f>
        <v>AL</v>
      </c>
      <c r="P185" s="89" t="str">
        <f aca="false">IFERROR(__xludf.dummyfunction("REGEXEXTRACT(ADDRESS(ROW(), 39+$H185), ""[A-Z]+"")"),"AM")</f>
        <v>AM</v>
      </c>
      <c r="Q185" s="89" t="str">
        <f aca="false">IFERROR(__xludf.dummyfunction("REGEXEXTRACT(ADDRESS(ROW(), 40+$H185), ""[A-Z]+"")"),"AN")</f>
        <v>AN</v>
      </c>
      <c r="R185" s="89" t="n">
        <f aca="false">IFERROR(__xludf.dummyfunction("IFERROR(QUERY(INDIRECT(""'""&amp;$F185&amp;""'!C3:""&amp;Q185&amp;""""), ""SELECT ""&amp;I185&amp;"", ""&amp;J185&amp;"", ""&amp;K185&amp;"", ""&amp;L185&amp;"", ""&amp;M185&amp;"", ""&amp;N185&amp;"", ""&amp;O185&amp;"", ""&amp;P185&amp;"" WHERE '""&amp;B185&amp;""' CONTAINS D"", 0), """")"),20)</f>
        <v>20</v>
      </c>
      <c r="S185" s="89" t="n">
        <f aca="false">IFERROR(__xludf.dummyfunction("""COMPUTED_VALUE"""),19)</f>
        <v>19</v>
      </c>
      <c r="T185" s="89"/>
      <c r="U185" s="89"/>
      <c r="V185" s="89" t="n">
        <f aca="false">IFERROR(__xludf.dummyfunction("""COMPUTED_VALUE"""),10)</f>
        <v>10</v>
      </c>
      <c r="W185" s="89"/>
      <c r="X185" s="89" t="n">
        <f aca="false">IFERROR(__xludf.dummyfunction("""COMPUTED_VALUE"""),40)</f>
        <v>40</v>
      </c>
      <c r="Y185" s="89" t="n">
        <f aca="false">IFERROR(__xludf.dummyfunction("""COMPUTED_VALUE"""),89)</f>
        <v>89</v>
      </c>
    </row>
    <row r="186" customFormat="false" ht="17.9" hidden="false" customHeight="false" outlineLevel="0" collapsed="false">
      <c r="A186" s="85" t="n">
        <v>185</v>
      </c>
      <c r="B186" s="85" t="n">
        <v>472174</v>
      </c>
      <c r="C186" s="86" t="s">
        <v>285</v>
      </c>
      <c r="D186" s="87" t="s">
        <v>119</v>
      </c>
      <c r="E186" s="88" t="str">
        <f aca="false">D186</f>
        <v>P3121</v>
      </c>
      <c r="F186" s="88" t="str">
        <f aca="false">REPLACE(E186, 1, 3, "")</f>
        <v>21</v>
      </c>
      <c r="G186" s="89" t="str">
        <f aca="true">IFERROR(VLOOKUP(B186,INDIRECT("'"&amp;$F186&amp;"'!D3:D"),1,FALSE()), "Not found")</f>
        <v>Not found</v>
      </c>
      <c r="H186" s="89" t="n">
        <f aca="true">INDIRECT("'"&amp;$F186&amp;"'!D1")</f>
        <v>5</v>
      </c>
      <c r="I186" s="89" t="str">
        <f aca="false">IFERROR(__xludf.dummyfunction("REGEXEXTRACT(ADDRESS(ROW(), 19+$H186), ""[A-Z]+"")"),"X")</f>
        <v>X</v>
      </c>
      <c r="J186" s="89" t="str">
        <f aca="false">IFERROR(__xludf.dummyfunction("REGEXEXTRACT(ADDRESS(ROW(), 25+$H186), ""[A-Z]+"")"),"AD")</f>
        <v>AD</v>
      </c>
      <c r="K186" s="89" t="str">
        <f aca="false">IFERROR(__xludf.dummyfunction("REGEXEXTRACT(ADDRESS(ROW(), 27+$H186), ""[A-Z]+"")"),"AF")</f>
        <v>AF</v>
      </c>
      <c r="L186" s="89" t="str">
        <f aca="false">IFERROR(__xludf.dummyfunction("REGEXEXTRACT(ADDRESS(ROW(), 28+$H186), ""[A-Z]+"")"),"AG")</f>
        <v>AG</v>
      </c>
      <c r="M186" s="89" t="str">
        <f aca="false">IFERROR(__xludf.dummyfunction("REGEXEXTRACT(ADDRESS(ROW(), 34+$H186), ""[A-Z]+"")"),"AM")</f>
        <v>AM</v>
      </c>
      <c r="N186" s="89" t="str">
        <f aca="false">IFERROR(__xludf.dummyfunction("REGEXEXTRACT(ADDRESS(ROW(), 37+$H186), ""[A-Z]+"")"),"AP")</f>
        <v>AP</v>
      </c>
      <c r="O186" s="89" t="str">
        <f aca="false">IFERROR(__xludf.dummyfunction("REGEXEXTRACT(ADDRESS(ROW(), 38+$H186), ""[A-Z]+"")"),"AQ")</f>
        <v>AQ</v>
      </c>
      <c r="P186" s="89" t="str">
        <f aca="false">IFERROR(__xludf.dummyfunction("REGEXEXTRACT(ADDRESS(ROW(), 39+$H186), ""[A-Z]+"")"),"AR")</f>
        <v>AR</v>
      </c>
      <c r="Q186" s="89" t="str">
        <f aca="false">IFERROR(__xludf.dummyfunction("REGEXEXTRACT(ADDRESS(ROW(), 40+$H186), ""[A-Z]+"")"),"AS")</f>
        <v>AS</v>
      </c>
      <c r="R186" s="89" t="n">
        <f aca="false">IFERROR(__xludf.dummyfunction("IFERROR(QUERY(INDIRECT(""'""&amp;$F186&amp;""'!C3:""&amp;Q186&amp;""""), ""SELECT ""&amp;I186&amp;"", ""&amp;J186&amp;"", ""&amp;K186&amp;"", ""&amp;L186&amp;"", ""&amp;M186&amp;"", ""&amp;N186&amp;"", ""&amp;O186&amp;"", ""&amp;P186&amp;"" WHERE '""&amp;B186&amp;""' CONTAINS D"", 0), """")"),16)</f>
        <v>16</v>
      </c>
      <c r="S186" s="89" t="n">
        <f aca="false">IFERROR(__xludf.dummyfunction("""COMPUTED_VALUE"""),13)</f>
        <v>13</v>
      </c>
      <c r="T186" s="89"/>
      <c r="U186" s="89"/>
      <c r="V186" s="89" t="n">
        <f aca="false">IFERROR(__xludf.dummyfunction("""COMPUTED_VALUE"""),6)</f>
        <v>6</v>
      </c>
      <c r="W186" s="89"/>
      <c r="X186" s="89" t="n">
        <f aca="false">IFERROR(__xludf.dummyfunction("""COMPUTED_VALUE"""),30)</f>
        <v>30</v>
      </c>
      <c r="Y186" s="89" t="n">
        <f aca="false">IFERROR(__xludf.dummyfunction("""COMPUTED_VALUE"""),65)</f>
        <v>65</v>
      </c>
    </row>
    <row r="187" customFormat="false" ht="17.9" hidden="false" customHeight="false" outlineLevel="0" collapsed="false">
      <c r="A187" s="85" t="n">
        <v>186</v>
      </c>
      <c r="B187" s="85" t="n">
        <v>466546</v>
      </c>
      <c r="C187" s="86" t="s">
        <v>286</v>
      </c>
      <c r="D187" s="87" t="s">
        <v>85</v>
      </c>
      <c r="E187" s="88" t="str">
        <f aca="false">D187</f>
        <v>P3132</v>
      </c>
      <c r="F187" s="88" t="str">
        <f aca="false">REPLACE(E187, 1, 3, "")</f>
        <v>32</v>
      </c>
      <c r="G187" s="89" t="str">
        <f aca="true">IFERROR(VLOOKUP(B187,INDIRECT("'"&amp;$F187&amp;"'!D3:D"),1,FALSE()), "Not found")</f>
        <v>Not found</v>
      </c>
      <c r="H187" s="89" t="n">
        <f aca="true">INDIRECT("'"&amp;$F187&amp;"'!D1")</f>
        <v>0</v>
      </c>
      <c r="I187" s="89" t="str">
        <f aca="false">IFERROR(__xludf.dummyfunction("REGEXEXTRACT(ADDRESS(ROW(), 19+$H187), ""[A-Z]+"")"),"S")</f>
        <v>S</v>
      </c>
      <c r="J187" s="89" t="str">
        <f aca="false">IFERROR(__xludf.dummyfunction("REGEXEXTRACT(ADDRESS(ROW(), 25+$H187), ""[A-Z]+"")"),"Y")</f>
        <v>Y</v>
      </c>
      <c r="K187" s="89" t="str">
        <f aca="false">IFERROR(__xludf.dummyfunction("REGEXEXTRACT(ADDRESS(ROW(), 27+$H187), ""[A-Z]+"")"),"AA")</f>
        <v>AA</v>
      </c>
      <c r="L187" s="89" t="str">
        <f aca="false">IFERROR(__xludf.dummyfunction("REGEXEXTRACT(ADDRESS(ROW(), 28+$H187), ""[A-Z]+"")"),"AB")</f>
        <v>AB</v>
      </c>
      <c r="M187" s="89" t="str">
        <f aca="false">IFERROR(__xludf.dummyfunction("REGEXEXTRACT(ADDRESS(ROW(), 34+$H187), ""[A-Z]+"")"),"AH")</f>
        <v>AH</v>
      </c>
      <c r="N187" s="89" t="str">
        <f aca="false">IFERROR(__xludf.dummyfunction("REGEXEXTRACT(ADDRESS(ROW(), 37+$H187), ""[A-Z]+"")"),"AK")</f>
        <v>AK</v>
      </c>
      <c r="O187" s="89" t="str">
        <f aca="false">IFERROR(__xludf.dummyfunction("REGEXEXTRACT(ADDRESS(ROW(), 38+$H187), ""[A-Z]+"")"),"AL")</f>
        <v>AL</v>
      </c>
      <c r="P187" s="89" t="str">
        <f aca="false">IFERROR(__xludf.dummyfunction("REGEXEXTRACT(ADDRESS(ROW(), 39+$H187), ""[A-Z]+"")"),"AM")</f>
        <v>AM</v>
      </c>
      <c r="Q187" s="89" t="str">
        <f aca="false">IFERROR(__xludf.dummyfunction("REGEXEXTRACT(ADDRESS(ROW(), 40+$H187), ""[A-Z]+"")"),"AN")</f>
        <v>AN</v>
      </c>
      <c r="R187" s="89" t="n">
        <f aca="false">IFERROR(__xludf.dummyfunction("IFERROR(QUERY(INDIRECT(""'""&amp;$F187&amp;""'!C3:""&amp;Q187&amp;""""), ""SELECT ""&amp;I187&amp;"", ""&amp;J187&amp;"", ""&amp;K187&amp;"", ""&amp;L187&amp;"", ""&amp;M187&amp;"", ""&amp;N187&amp;"", ""&amp;O187&amp;"", ""&amp;P187&amp;"" WHERE '""&amp;B187&amp;""' CONTAINS D"", 0), """")"),17)</f>
        <v>17</v>
      </c>
      <c r="S187" s="89" t="n">
        <f aca="false">IFERROR(__xludf.dummyfunction("""COMPUTED_VALUE"""),16)</f>
        <v>16</v>
      </c>
      <c r="T187" s="89"/>
      <c r="U187" s="89"/>
      <c r="V187" s="89" t="n">
        <f aca="false">IFERROR(__xludf.dummyfunction("""COMPUTED_VALUE"""),6)</f>
        <v>6</v>
      </c>
      <c r="W187" s="89"/>
      <c r="X187" s="89" t="n">
        <f aca="false">IFERROR(__xludf.dummyfunction("""COMPUTED_VALUE"""),24)</f>
        <v>24</v>
      </c>
      <c r="Y187" s="89" t="n">
        <f aca="false">IFERROR(__xludf.dummyfunction("""COMPUTED_VALUE"""),63)</f>
        <v>63</v>
      </c>
    </row>
    <row r="188" customFormat="false" ht="17.9" hidden="false" customHeight="false" outlineLevel="0" collapsed="false">
      <c r="A188" s="85" t="n">
        <v>187</v>
      </c>
      <c r="B188" s="85" t="n">
        <v>466549</v>
      </c>
      <c r="C188" s="86" t="s">
        <v>287</v>
      </c>
      <c r="D188" s="87" t="s">
        <v>139</v>
      </c>
      <c r="E188" s="88" t="str">
        <f aca="false">D188</f>
        <v>P3118</v>
      </c>
      <c r="F188" s="88" t="str">
        <f aca="false">REPLACE(E188, 1, 3, "")</f>
        <v>18</v>
      </c>
      <c r="G188" s="89" t="str">
        <f aca="true">IFERROR(VLOOKUP(B188,INDIRECT("'"&amp;$F188&amp;"'!D3:D"),1,FALSE()), "Not found")</f>
        <v>Not found</v>
      </c>
      <c r="H188" s="89" t="n">
        <f aca="true">INDIRECT("'"&amp;$F188&amp;"'!D1")</f>
        <v>0</v>
      </c>
      <c r="I188" s="89" t="str">
        <f aca="false">IFERROR(__xludf.dummyfunction("REGEXEXTRACT(ADDRESS(ROW(), 19+$H188), ""[A-Z]+"")"),"S")</f>
        <v>S</v>
      </c>
      <c r="J188" s="89" t="str">
        <f aca="false">IFERROR(__xludf.dummyfunction("REGEXEXTRACT(ADDRESS(ROW(), 25+$H188), ""[A-Z]+"")"),"Y")</f>
        <v>Y</v>
      </c>
      <c r="K188" s="89" t="str">
        <f aca="false">IFERROR(__xludf.dummyfunction("REGEXEXTRACT(ADDRESS(ROW(), 27+$H188), ""[A-Z]+"")"),"AA")</f>
        <v>AA</v>
      </c>
      <c r="L188" s="89" t="str">
        <f aca="false">IFERROR(__xludf.dummyfunction("REGEXEXTRACT(ADDRESS(ROW(), 28+$H188), ""[A-Z]+"")"),"AB")</f>
        <v>AB</v>
      </c>
      <c r="M188" s="89" t="str">
        <f aca="false">IFERROR(__xludf.dummyfunction("REGEXEXTRACT(ADDRESS(ROW(), 34+$H188), ""[A-Z]+"")"),"AH")</f>
        <v>AH</v>
      </c>
      <c r="N188" s="89" t="str">
        <f aca="false">IFERROR(__xludf.dummyfunction("REGEXEXTRACT(ADDRESS(ROW(), 37+$H188), ""[A-Z]+"")"),"AK")</f>
        <v>AK</v>
      </c>
      <c r="O188" s="89" t="str">
        <f aca="false">IFERROR(__xludf.dummyfunction("REGEXEXTRACT(ADDRESS(ROW(), 38+$H188), ""[A-Z]+"")"),"AL")</f>
        <v>AL</v>
      </c>
      <c r="P188" s="89" t="str">
        <f aca="false">IFERROR(__xludf.dummyfunction("REGEXEXTRACT(ADDRESS(ROW(), 39+$H188), ""[A-Z]+"")"),"AM")</f>
        <v>AM</v>
      </c>
      <c r="Q188" s="89" t="str">
        <f aca="false">IFERROR(__xludf.dummyfunction("REGEXEXTRACT(ADDRESS(ROW(), 40+$H188), ""[A-Z]+"")"),"AN")</f>
        <v>AN</v>
      </c>
      <c r="R188" s="89" t="n">
        <f aca="false">IFERROR(__xludf.dummyfunction("IFERROR(QUERY(INDIRECT(""'""&amp;$F188&amp;""'!C3:""&amp;Q188&amp;""""), ""SELECT ""&amp;I188&amp;"", ""&amp;J188&amp;"", ""&amp;K188&amp;"", ""&amp;L188&amp;"", ""&amp;M188&amp;"", ""&amp;N188&amp;"", ""&amp;O188&amp;"", ""&amp;P188&amp;"" WHERE '""&amp;B188&amp;""' CONTAINS D"", 0), """")"),17.3)</f>
        <v>17.3</v>
      </c>
      <c r="S188" s="89" t="n">
        <f aca="false">IFERROR(__xludf.dummyfunction("""COMPUTED_VALUE"""),17.5)</f>
        <v>17.5</v>
      </c>
      <c r="T188" s="89"/>
      <c r="U188" s="89"/>
      <c r="V188" s="89" t="n">
        <f aca="false">IFERROR(__xludf.dummyfunction("""COMPUTED_VALUE"""),6)</f>
        <v>6</v>
      </c>
      <c r="W188" s="89"/>
      <c r="X188" s="89" t="n">
        <f aca="false">IFERROR(__xludf.dummyfunction("""COMPUTED_VALUE"""),34)</f>
        <v>34</v>
      </c>
      <c r="Y188" s="89" t="n">
        <f aca="false">IFERROR(__xludf.dummyfunction("""COMPUTED_VALUE"""),74.8)</f>
        <v>74.8</v>
      </c>
    </row>
    <row r="189" customFormat="false" ht="17.9" hidden="false" customHeight="false" outlineLevel="0" collapsed="false">
      <c r="A189" s="85" t="n">
        <v>188</v>
      </c>
      <c r="B189" s="85" t="n">
        <v>466560</v>
      </c>
      <c r="C189" s="86" t="s">
        <v>288</v>
      </c>
      <c r="D189" s="87" t="s">
        <v>157</v>
      </c>
      <c r="E189" s="88" t="str">
        <f aca="false">D189</f>
        <v>P3123</v>
      </c>
      <c r="F189" s="88" t="str">
        <f aca="false">REPLACE(E189, 1, 3, "")</f>
        <v>23</v>
      </c>
      <c r="G189" s="89" t="str">
        <f aca="true">IFERROR(VLOOKUP(B189,INDIRECT("'"&amp;$F189&amp;"'!D3:D"),1,FALSE()), "Not found")</f>
        <v>Not found</v>
      </c>
      <c r="H189" s="89" t="n">
        <f aca="true">INDIRECT("'"&amp;$F189&amp;"'!D1")</f>
        <v>1</v>
      </c>
      <c r="I189" s="89" t="str">
        <f aca="false">IFERROR(__xludf.dummyfunction("REGEXEXTRACT(ADDRESS(ROW(), 19+$H189), ""[A-Z]+"")"),"T")</f>
        <v>T</v>
      </c>
      <c r="J189" s="89" t="str">
        <f aca="false">IFERROR(__xludf.dummyfunction("REGEXEXTRACT(ADDRESS(ROW(), 25+$H189), ""[A-Z]+"")"),"Z")</f>
        <v>Z</v>
      </c>
      <c r="K189" s="89" t="str">
        <f aca="false">IFERROR(__xludf.dummyfunction("REGEXEXTRACT(ADDRESS(ROW(), 27+$H189), ""[A-Z]+"")"),"AB")</f>
        <v>AB</v>
      </c>
      <c r="L189" s="89" t="str">
        <f aca="false">IFERROR(__xludf.dummyfunction("REGEXEXTRACT(ADDRESS(ROW(), 28+$H189), ""[A-Z]+"")"),"AC")</f>
        <v>AC</v>
      </c>
      <c r="M189" s="89" t="str">
        <f aca="false">IFERROR(__xludf.dummyfunction("REGEXEXTRACT(ADDRESS(ROW(), 34+$H189), ""[A-Z]+"")"),"AI")</f>
        <v>AI</v>
      </c>
      <c r="N189" s="89" t="str">
        <f aca="false">IFERROR(__xludf.dummyfunction("REGEXEXTRACT(ADDRESS(ROW(), 37+$H189), ""[A-Z]+"")"),"AL")</f>
        <v>AL</v>
      </c>
      <c r="O189" s="89" t="str">
        <f aca="false">IFERROR(__xludf.dummyfunction("REGEXEXTRACT(ADDRESS(ROW(), 38+$H189), ""[A-Z]+"")"),"AM")</f>
        <v>AM</v>
      </c>
      <c r="P189" s="89" t="str">
        <f aca="false">IFERROR(__xludf.dummyfunction("REGEXEXTRACT(ADDRESS(ROW(), 39+$H189), ""[A-Z]+"")"),"AN")</f>
        <v>AN</v>
      </c>
      <c r="Q189" s="89" t="str">
        <f aca="false">IFERROR(__xludf.dummyfunction("REGEXEXTRACT(ADDRESS(ROW(), 40+$H189), ""[A-Z]+"")"),"AO")</f>
        <v>AO</v>
      </c>
      <c r="R189" s="89" t="n">
        <f aca="false">IFERROR(__xludf.dummyfunction("IFERROR(QUERY(INDIRECT(""'""&amp;$F189&amp;""'!C3:""&amp;Q189&amp;""""), ""SELECT ""&amp;I189&amp;"", ""&amp;J189&amp;"", ""&amp;K189&amp;"", ""&amp;L189&amp;"", ""&amp;M189&amp;"", ""&amp;N189&amp;"", ""&amp;O189&amp;"", ""&amp;P189&amp;"" WHERE '""&amp;B189&amp;""' CONTAINS D"", 0), """")"),15)</f>
        <v>15</v>
      </c>
      <c r="S189" s="89" t="n">
        <f aca="false">IFERROR(__xludf.dummyfunction("""COMPUTED_VALUE"""),17)</f>
        <v>17</v>
      </c>
      <c r="T189" s="89"/>
      <c r="U189" s="89"/>
      <c r="V189" s="89" t="n">
        <f aca="false">IFERROR(__xludf.dummyfunction("""COMPUTED_VALUE"""),6)</f>
        <v>6</v>
      </c>
      <c r="W189" s="89"/>
      <c r="X189" s="89" t="n">
        <f aca="false">IFERROR(__xludf.dummyfunction("""COMPUTED_VALUE"""),35)</f>
        <v>35</v>
      </c>
      <c r="Y189" s="89" t="n">
        <f aca="false">IFERROR(__xludf.dummyfunction("""COMPUTED_VALUE"""),73)</f>
        <v>73</v>
      </c>
    </row>
    <row r="190" customFormat="false" ht="17.9" hidden="false" customHeight="false" outlineLevel="0" collapsed="false">
      <c r="A190" s="85" t="n">
        <v>189</v>
      </c>
      <c r="B190" s="85" t="n">
        <v>472183</v>
      </c>
      <c r="C190" s="86" t="s">
        <v>289</v>
      </c>
      <c r="D190" s="87" t="s">
        <v>119</v>
      </c>
      <c r="E190" s="88" t="str">
        <f aca="false">D190</f>
        <v>P3121</v>
      </c>
      <c r="F190" s="88" t="str">
        <f aca="false">REPLACE(E190, 1, 3, "")</f>
        <v>21</v>
      </c>
      <c r="G190" s="89" t="str">
        <f aca="true">IFERROR(VLOOKUP(B190,INDIRECT("'"&amp;$F190&amp;"'!D3:D"),1,FALSE()), "Not found")</f>
        <v>Not found</v>
      </c>
      <c r="H190" s="89" t="n">
        <f aca="true">INDIRECT("'"&amp;$F190&amp;"'!D1")</f>
        <v>5</v>
      </c>
      <c r="I190" s="89" t="str">
        <f aca="false">IFERROR(__xludf.dummyfunction("REGEXEXTRACT(ADDRESS(ROW(), 19+$H190), ""[A-Z]+"")"),"X")</f>
        <v>X</v>
      </c>
      <c r="J190" s="89" t="str">
        <f aca="false">IFERROR(__xludf.dummyfunction("REGEXEXTRACT(ADDRESS(ROW(), 25+$H190), ""[A-Z]+"")"),"AD")</f>
        <v>AD</v>
      </c>
      <c r="K190" s="89" t="str">
        <f aca="false">IFERROR(__xludf.dummyfunction("REGEXEXTRACT(ADDRESS(ROW(), 27+$H190), ""[A-Z]+"")"),"AF")</f>
        <v>AF</v>
      </c>
      <c r="L190" s="89" t="str">
        <f aca="false">IFERROR(__xludf.dummyfunction("REGEXEXTRACT(ADDRESS(ROW(), 28+$H190), ""[A-Z]+"")"),"AG")</f>
        <v>AG</v>
      </c>
      <c r="M190" s="89" t="str">
        <f aca="false">IFERROR(__xludf.dummyfunction("REGEXEXTRACT(ADDRESS(ROW(), 34+$H190), ""[A-Z]+"")"),"AM")</f>
        <v>AM</v>
      </c>
      <c r="N190" s="89" t="str">
        <f aca="false">IFERROR(__xludf.dummyfunction("REGEXEXTRACT(ADDRESS(ROW(), 37+$H190), ""[A-Z]+"")"),"AP")</f>
        <v>AP</v>
      </c>
      <c r="O190" s="89" t="str">
        <f aca="false">IFERROR(__xludf.dummyfunction("REGEXEXTRACT(ADDRESS(ROW(), 38+$H190), ""[A-Z]+"")"),"AQ")</f>
        <v>AQ</v>
      </c>
      <c r="P190" s="89" t="str">
        <f aca="false">IFERROR(__xludf.dummyfunction("REGEXEXTRACT(ADDRESS(ROW(), 39+$H190), ""[A-Z]+"")"),"AR")</f>
        <v>AR</v>
      </c>
      <c r="Q190" s="89" t="str">
        <f aca="false">IFERROR(__xludf.dummyfunction("REGEXEXTRACT(ADDRESS(ROW(), 40+$H190), ""[A-Z]+"")"),"AS")</f>
        <v>AS</v>
      </c>
      <c r="R190" s="89" t="n">
        <f aca="false">IFERROR(__xludf.dummyfunction("IFERROR(QUERY(INDIRECT(""'""&amp;$F190&amp;""'!C3:""&amp;Q190&amp;""""), ""SELECT ""&amp;I190&amp;"", ""&amp;J190&amp;"", ""&amp;K190&amp;"", ""&amp;L190&amp;"", ""&amp;M190&amp;"", ""&amp;N190&amp;"", ""&amp;O190&amp;"", ""&amp;P190&amp;"" WHERE '""&amp;B190&amp;""' CONTAINS D"", 0), """")"),12)</f>
        <v>12</v>
      </c>
      <c r="S190" s="89"/>
      <c r="T190" s="89"/>
      <c r="U190" s="89"/>
      <c r="V190" s="89" t="n">
        <f aca="false">IFERROR(__xludf.dummyfunction("""COMPUTED_VALUE"""),6)</f>
        <v>6</v>
      </c>
      <c r="W190" s="89"/>
      <c r="X190" s="89"/>
      <c r="Y190" s="89" t="n">
        <f aca="false">IFERROR(__xludf.dummyfunction("""COMPUTED_VALUE"""),18)</f>
        <v>18</v>
      </c>
    </row>
    <row r="191" customFormat="false" ht="17.9" hidden="false" customHeight="false" outlineLevel="0" collapsed="false">
      <c r="A191" s="85" t="n">
        <v>190</v>
      </c>
      <c r="B191" s="85" t="n">
        <v>472196</v>
      </c>
      <c r="C191" s="86" t="s">
        <v>290</v>
      </c>
      <c r="D191" s="87" t="s">
        <v>93</v>
      </c>
      <c r="E191" s="88" t="str">
        <f aca="false">D191</f>
        <v>P3114</v>
      </c>
      <c r="F191" s="88" t="str">
        <f aca="false">REPLACE(E191, 1, 3, "")</f>
        <v>14</v>
      </c>
      <c r="G191" s="89" t="str">
        <f aca="true">IFERROR(VLOOKUP(B191,INDIRECT("'"&amp;$F191&amp;"'!D3:D"),1,FALSE()), "Not found")</f>
        <v>Not found</v>
      </c>
      <c r="H191" s="89" t="n">
        <f aca="true">INDIRECT("'"&amp;$F191&amp;"'!D1")</f>
        <v>0</v>
      </c>
      <c r="I191" s="89" t="str">
        <f aca="false">IFERROR(__xludf.dummyfunction("REGEXEXTRACT(ADDRESS(ROW(), 19+$H191), ""[A-Z]+"")"),"S")</f>
        <v>S</v>
      </c>
      <c r="J191" s="89" t="str">
        <f aca="false">IFERROR(__xludf.dummyfunction("REGEXEXTRACT(ADDRESS(ROW(), 25+$H191), ""[A-Z]+"")"),"Y")</f>
        <v>Y</v>
      </c>
      <c r="K191" s="89" t="str">
        <f aca="false">IFERROR(__xludf.dummyfunction("REGEXEXTRACT(ADDRESS(ROW(), 27+$H191), ""[A-Z]+"")"),"AA")</f>
        <v>AA</v>
      </c>
      <c r="L191" s="89" t="str">
        <f aca="false">IFERROR(__xludf.dummyfunction("REGEXEXTRACT(ADDRESS(ROW(), 28+$H191), ""[A-Z]+"")"),"AB")</f>
        <v>AB</v>
      </c>
      <c r="M191" s="89" t="str">
        <f aca="false">IFERROR(__xludf.dummyfunction("REGEXEXTRACT(ADDRESS(ROW(), 34+$H191), ""[A-Z]+"")"),"AH")</f>
        <v>AH</v>
      </c>
      <c r="N191" s="89" t="str">
        <f aca="false">IFERROR(__xludf.dummyfunction("REGEXEXTRACT(ADDRESS(ROW(), 37+$H191), ""[A-Z]+"")"),"AK")</f>
        <v>AK</v>
      </c>
      <c r="O191" s="89" t="str">
        <f aca="false">IFERROR(__xludf.dummyfunction("REGEXEXTRACT(ADDRESS(ROW(), 38+$H191), ""[A-Z]+"")"),"AL")</f>
        <v>AL</v>
      </c>
      <c r="P191" s="89" t="str">
        <f aca="false">IFERROR(__xludf.dummyfunction("REGEXEXTRACT(ADDRESS(ROW(), 39+$H191), ""[A-Z]+"")"),"AM")</f>
        <v>AM</v>
      </c>
      <c r="Q191" s="89" t="str">
        <f aca="false">IFERROR(__xludf.dummyfunction("REGEXEXTRACT(ADDRESS(ROW(), 40+$H191), ""[A-Z]+"")"),"AN")</f>
        <v>AN</v>
      </c>
      <c r="R191" s="89" t="n">
        <f aca="false">IFERROR(__xludf.dummyfunction("IFERROR(QUERY(INDIRECT(""'""&amp;$F191&amp;""'!C3:""&amp;Q191&amp;""""), ""SELECT ""&amp;I191&amp;"", ""&amp;J191&amp;"", ""&amp;K191&amp;"", ""&amp;L191&amp;"", ""&amp;M191&amp;"", ""&amp;N191&amp;"", ""&amp;O191&amp;"", ""&amp;P191&amp;"" WHERE '""&amp;B191&amp;""' CONTAINS D"", 0), """")"),15)</f>
        <v>15</v>
      </c>
      <c r="S191" s="89" t="n">
        <f aca="false">IFERROR(__xludf.dummyfunction("""COMPUTED_VALUE"""),14)</f>
        <v>14</v>
      </c>
      <c r="T191" s="89"/>
      <c r="U191" s="89"/>
      <c r="V191" s="89" t="n">
        <f aca="false">IFERROR(__xludf.dummyfunction("""COMPUTED_VALUE"""),6)</f>
        <v>6</v>
      </c>
      <c r="W191" s="89"/>
      <c r="X191" s="89" t="n">
        <f aca="false">IFERROR(__xludf.dummyfunction("""COMPUTED_VALUE"""),40)</f>
        <v>40</v>
      </c>
      <c r="Y191" s="89" t="n">
        <f aca="false">IFERROR(__xludf.dummyfunction("""COMPUTED_VALUE"""),75)</f>
        <v>75</v>
      </c>
    </row>
    <row r="192" customFormat="false" ht="17.9" hidden="false" customHeight="false" outlineLevel="0" collapsed="false">
      <c r="A192" s="85" t="n">
        <v>191</v>
      </c>
      <c r="B192" s="85" t="n">
        <v>466593</v>
      </c>
      <c r="C192" s="86" t="s">
        <v>291</v>
      </c>
      <c r="D192" s="87" t="s">
        <v>130</v>
      </c>
      <c r="E192" s="88" t="str">
        <f aca="false">D192</f>
        <v>P3117</v>
      </c>
      <c r="F192" s="88" t="str">
        <f aca="false">REPLACE(E192, 1, 3, "")</f>
        <v>17</v>
      </c>
      <c r="G192" s="89" t="str">
        <f aca="true">IFERROR(VLOOKUP(B192,INDIRECT("'"&amp;$F192&amp;"'!D3:D"),1,FALSE()), "Not found")</f>
        <v>Not found</v>
      </c>
      <c r="H192" s="89" t="n">
        <f aca="true">INDIRECT("'"&amp;$F192&amp;"'!D1")</f>
        <v>1</v>
      </c>
      <c r="I192" s="89" t="str">
        <f aca="false">IFERROR(__xludf.dummyfunction("REGEXEXTRACT(ADDRESS(ROW(), 19+$H192), ""[A-Z]+"")"),"T")</f>
        <v>T</v>
      </c>
      <c r="J192" s="89" t="str">
        <f aca="false">IFERROR(__xludf.dummyfunction("REGEXEXTRACT(ADDRESS(ROW(), 25+$H192), ""[A-Z]+"")"),"Z")</f>
        <v>Z</v>
      </c>
      <c r="K192" s="89" t="str">
        <f aca="false">IFERROR(__xludf.dummyfunction("REGEXEXTRACT(ADDRESS(ROW(), 27+$H192), ""[A-Z]+"")"),"AB")</f>
        <v>AB</v>
      </c>
      <c r="L192" s="89" t="str">
        <f aca="false">IFERROR(__xludf.dummyfunction("REGEXEXTRACT(ADDRESS(ROW(), 28+$H192), ""[A-Z]+"")"),"AC")</f>
        <v>AC</v>
      </c>
      <c r="M192" s="89" t="str">
        <f aca="false">IFERROR(__xludf.dummyfunction("REGEXEXTRACT(ADDRESS(ROW(), 34+$H192), ""[A-Z]+"")"),"AI")</f>
        <v>AI</v>
      </c>
      <c r="N192" s="89" t="str">
        <f aca="false">IFERROR(__xludf.dummyfunction("REGEXEXTRACT(ADDRESS(ROW(), 37+$H192), ""[A-Z]+"")"),"AL")</f>
        <v>AL</v>
      </c>
      <c r="O192" s="89" t="str">
        <f aca="false">IFERROR(__xludf.dummyfunction("REGEXEXTRACT(ADDRESS(ROW(), 38+$H192), ""[A-Z]+"")"),"AM")</f>
        <v>AM</v>
      </c>
      <c r="P192" s="89" t="str">
        <f aca="false">IFERROR(__xludf.dummyfunction("REGEXEXTRACT(ADDRESS(ROW(), 39+$H192), ""[A-Z]+"")"),"AN")</f>
        <v>AN</v>
      </c>
      <c r="Q192" s="89" t="str">
        <f aca="false">IFERROR(__xludf.dummyfunction("REGEXEXTRACT(ADDRESS(ROW(), 40+$H192), ""[A-Z]+"")"),"AO")</f>
        <v>AO</v>
      </c>
      <c r="R192" s="89" t="n">
        <f aca="false">IFERROR(__xludf.dummyfunction("IFERROR(QUERY(INDIRECT(""'""&amp;$F192&amp;""'!C3:""&amp;Q192&amp;""""), ""SELECT ""&amp;I192&amp;"", ""&amp;J192&amp;"", ""&amp;K192&amp;"", ""&amp;L192&amp;"", ""&amp;M192&amp;"", ""&amp;N192&amp;"", ""&amp;O192&amp;"", ""&amp;P192&amp;"" WHERE '""&amp;B192&amp;""' CONTAINS D"", 0), """")"),12)</f>
        <v>12</v>
      </c>
      <c r="S192" s="89" t="n">
        <f aca="false">IFERROR(__xludf.dummyfunction("""COMPUTED_VALUE"""),13)</f>
        <v>13</v>
      </c>
      <c r="T192" s="89"/>
      <c r="U192" s="89"/>
      <c r="V192" s="89" t="n">
        <f aca="false">IFERROR(__xludf.dummyfunction("""COMPUTED_VALUE"""),9)</f>
        <v>9</v>
      </c>
      <c r="W192" s="89"/>
      <c r="X192" s="89" t="n">
        <f aca="false">IFERROR(__xludf.dummyfunction("""COMPUTED_VALUE"""),30)</f>
        <v>30</v>
      </c>
      <c r="Y192" s="89" t="n">
        <f aca="false">IFERROR(__xludf.dummyfunction("""COMPUTED_VALUE"""),64)</f>
        <v>64</v>
      </c>
    </row>
    <row r="193" customFormat="false" ht="17.9" hidden="false" customHeight="false" outlineLevel="0" collapsed="false">
      <c r="A193" s="85" t="n">
        <v>192</v>
      </c>
      <c r="B193" s="85" t="n">
        <v>466595</v>
      </c>
      <c r="C193" s="86" t="s">
        <v>292</v>
      </c>
      <c r="D193" s="87" t="s">
        <v>139</v>
      </c>
      <c r="E193" s="88" t="str">
        <f aca="false">D193</f>
        <v>P3118</v>
      </c>
      <c r="F193" s="88" t="str">
        <f aca="false">REPLACE(E193, 1, 3, "")</f>
        <v>18</v>
      </c>
      <c r="G193" s="89" t="str">
        <f aca="true">IFERROR(VLOOKUP(B193,INDIRECT("'"&amp;$F193&amp;"'!D3:D"),1,FALSE()), "Not found")</f>
        <v>Not found</v>
      </c>
      <c r="H193" s="89" t="n">
        <f aca="true">INDIRECT("'"&amp;$F193&amp;"'!D1")</f>
        <v>0</v>
      </c>
      <c r="I193" s="89" t="str">
        <f aca="false">IFERROR(__xludf.dummyfunction("REGEXEXTRACT(ADDRESS(ROW(), 19+$H193), ""[A-Z]+"")"),"S")</f>
        <v>S</v>
      </c>
      <c r="J193" s="89" t="str">
        <f aca="false">IFERROR(__xludf.dummyfunction("REGEXEXTRACT(ADDRESS(ROW(), 25+$H193), ""[A-Z]+"")"),"Y")</f>
        <v>Y</v>
      </c>
      <c r="K193" s="89" t="str">
        <f aca="false">IFERROR(__xludf.dummyfunction("REGEXEXTRACT(ADDRESS(ROW(), 27+$H193), ""[A-Z]+"")"),"AA")</f>
        <v>AA</v>
      </c>
      <c r="L193" s="89" t="str">
        <f aca="false">IFERROR(__xludf.dummyfunction("REGEXEXTRACT(ADDRESS(ROW(), 28+$H193), ""[A-Z]+"")"),"AB")</f>
        <v>AB</v>
      </c>
      <c r="M193" s="89" t="str">
        <f aca="false">IFERROR(__xludf.dummyfunction("REGEXEXTRACT(ADDRESS(ROW(), 34+$H193), ""[A-Z]+"")"),"AH")</f>
        <v>AH</v>
      </c>
      <c r="N193" s="89" t="str">
        <f aca="false">IFERROR(__xludf.dummyfunction("REGEXEXTRACT(ADDRESS(ROW(), 37+$H193), ""[A-Z]+"")"),"AK")</f>
        <v>AK</v>
      </c>
      <c r="O193" s="89" t="str">
        <f aca="false">IFERROR(__xludf.dummyfunction("REGEXEXTRACT(ADDRESS(ROW(), 38+$H193), ""[A-Z]+"")"),"AL")</f>
        <v>AL</v>
      </c>
      <c r="P193" s="89" t="str">
        <f aca="false">IFERROR(__xludf.dummyfunction("REGEXEXTRACT(ADDRESS(ROW(), 39+$H193), ""[A-Z]+"")"),"AM")</f>
        <v>AM</v>
      </c>
      <c r="Q193" s="89" t="str">
        <f aca="false">IFERROR(__xludf.dummyfunction("REGEXEXTRACT(ADDRESS(ROW(), 40+$H193), ""[A-Z]+"")"),"AN")</f>
        <v>AN</v>
      </c>
      <c r="R193" s="89" t="n">
        <f aca="false">IFERROR(__xludf.dummyfunction("IFERROR(QUERY(INDIRECT(""'""&amp;$F193&amp;""'!C3:""&amp;Q193&amp;""""), ""SELECT ""&amp;I193&amp;"", ""&amp;J193&amp;"", ""&amp;K193&amp;"", ""&amp;L193&amp;"", ""&amp;M193&amp;"", ""&amp;N193&amp;"", ""&amp;O193&amp;"", ""&amp;P193&amp;"" WHERE '""&amp;B193&amp;""' CONTAINS D"", 0), """")"),19.4)</f>
        <v>19.4</v>
      </c>
      <c r="S193" s="89" t="n">
        <f aca="false">IFERROR(__xludf.dummyfunction("""COMPUTED_VALUE"""),20)</f>
        <v>20</v>
      </c>
      <c r="T193" s="89"/>
      <c r="U193" s="89"/>
      <c r="V193" s="89" t="n">
        <f aca="false">IFERROR(__xludf.dummyfunction("""COMPUTED_VALUE"""),10)</f>
        <v>10</v>
      </c>
      <c r="W193" s="89"/>
      <c r="X193" s="89" t="n">
        <f aca="false">IFERROR(__xludf.dummyfunction("""COMPUTED_VALUE"""),40)</f>
        <v>40</v>
      </c>
      <c r="Y193" s="89" t="n">
        <f aca="false">IFERROR(__xludf.dummyfunction("""COMPUTED_VALUE"""),89.4)</f>
        <v>89.4</v>
      </c>
    </row>
    <row r="194" customFormat="false" ht="17.9" hidden="false" customHeight="false" outlineLevel="0" collapsed="false">
      <c r="A194" s="85" t="n">
        <v>193</v>
      </c>
      <c r="B194" s="85" t="n">
        <v>472209</v>
      </c>
      <c r="C194" s="86" t="s">
        <v>293</v>
      </c>
      <c r="D194" s="87" t="s">
        <v>127</v>
      </c>
      <c r="E194" s="88" t="str">
        <f aca="false">D194</f>
        <v>P3131</v>
      </c>
      <c r="F194" s="88" t="str">
        <f aca="false">REPLACE(E194, 1, 3, "")</f>
        <v>31</v>
      </c>
      <c r="G194" s="89" t="str">
        <f aca="true">IFERROR(VLOOKUP(B194,INDIRECT("'"&amp;$F194&amp;"'!D3:D"),1,FALSE()), "Not found")</f>
        <v>Not found</v>
      </c>
      <c r="H194" s="89" t="n">
        <f aca="true">INDIRECT("'"&amp;$F194&amp;"'!D1")</f>
        <v>0</v>
      </c>
      <c r="I194" s="89" t="str">
        <f aca="false">IFERROR(__xludf.dummyfunction("REGEXEXTRACT(ADDRESS(ROW(), 19+$H194), ""[A-Z]+"")"),"S")</f>
        <v>S</v>
      </c>
      <c r="J194" s="89" t="str">
        <f aca="false">IFERROR(__xludf.dummyfunction("REGEXEXTRACT(ADDRESS(ROW(), 25+$H194), ""[A-Z]+"")"),"Y")</f>
        <v>Y</v>
      </c>
      <c r="K194" s="89" t="str">
        <f aca="false">IFERROR(__xludf.dummyfunction("REGEXEXTRACT(ADDRESS(ROW(), 27+$H194), ""[A-Z]+"")"),"AA")</f>
        <v>AA</v>
      </c>
      <c r="L194" s="89" t="str">
        <f aca="false">IFERROR(__xludf.dummyfunction("REGEXEXTRACT(ADDRESS(ROW(), 28+$H194), ""[A-Z]+"")"),"AB")</f>
        <v>AB</v>
      </c>
      <c r="M194" s="89" t="str">
        <f aca="false">IFERROR(__xludf.dummyfunction("REGEXEXTRACT(ADDRESS(ROW(), 34+$H194), ""[A-Z]+"")"),"AH")</f>
        <v>AH</v>
      </c>
      <c r="N194" s="89" t="str">
        <f aca="false">IFERROR(__xludf.dummyfunction("REGEXEXTRACT(ADDRESS(ROW(), 37+$H194), ""[A-Z]+"")"),"AK")</f>
        <v>AK</v>
      </c>
      <c r="O194" s="89" t="str">
        <f aca="false">IFERROR(__xludf.dummyfunction("REGEXEXTRACT(ADDRESS(ROW(), 38+$H194), ""[A-Z]+"")"),"AL")</f>
        <v>AL</v>
      </c>
      <c r="P194" s="89" t="str">
        <f aca="false">IFERROR(__xludf.dummyfunction("REGEXEXTRACT(ADDRESS(ROW(), 39+$H194), ""[A-Z]+"")"),"AM")</f>
        <v>AM</v>
      </c>
      <c r="Q194" s="89" t="str">
        <f aca="false">IFERROR(__xludf.dummyfunction("REGEXEXTRACT(ADDRESS(ROW(), 40+$H194), ""[A-Z]+"")"),"AN")</f>
        <v>AN</v>
      </c>
      <c r="R194" s="89" t="str">
        <f aca="false">IFERROR(__xludf.dummyfunction("IFERROR(QUERY(INDIRECT(""'""&amp;$F194&amp;""'!C3:""&amp;Q194&amp;""""), ""SELECT ""&amp;I194&amp;"", ""&amp;J194&amp;"", ""&amp;K194&amp;"", ""&amp;L194&amp;"", ""&amp;M194&amp;"", ""&amp;N194&amp;"", ""&amp;O194&amp;"", ""&amp;P194&amp;"" WHERE '""&amp;B194&amp;""' CONTAINS D"", 0), """")"),"")</f>
        <v/>
      </c>
      <c r="S194" s="89"/>
      <c r="T194" s="89"/>
      <c r="U194" s="89"/>
      <c r="V194" s="89" t="n">
        <f aca="false">IFERROR(__xludf.dummyfunction("""COMPUTED_VALUE"""),0)</f>
        <v>0</v>
      </c>
      <c r="W194" s="89"/>
      <c r="X194" s="89" t="n">
        <f aca="false">IFERROR(__xludf.dummyfunction("""COMPUTED_VALUE"""),0)</f>
        <v>0</v>
      </c>
      <c r="Y194" s="89" t="n">
        <f aca="false">IFERROR(__xludf.dummyfunction("""COMPUTED_VALUE"""),0)</f>
        <v>0</v>
      </c>
    </row>
    <row r="195" customFormat="false" ht="17.9" hidden="false" customHeight="false" outlineLevel="0" collapsed="false">
      <c r="A195" s="85" t="n">
        <v>194</v>
      </c>
      <c r="B195" s="85" t="n">
        <v>434931</v>
      </c>
      <c r="C195" s="86" t="s">
        <v>294</v>
      </c>
      <c r="D195" s="87" t="s">
        <v>89</v>
      </c>
      <c r="E195" s="88" t="str">
        <f aca="false">D195</f>
        <v>P3119</v>
      </c>
      <c r="F195" s="88" t="str">
        <f aca="false">REPLACE(E195, 1, 3, "")</f>
        <v>19</v>
      </c>
      <c r="G195" s="89" t="str">
        <f aca="true">IFERROR(VLOOKUP(B195,INDIRECT("'"&amp;$F195&amp;"'!D3:D"),1,FALSE()), "Not found")</f>
        <v>Not found</v>
      </c>
      <c r="H195" s="89" t="n">
        <f aca="true">INDIRECT("'"&amp;$F195&amp;"'!D1")</f>
        <v>0</v>
      </c>
      <c r="I195" s="89" t="str">
        <f aca="false">IFERROR(__xludf.dummyfunction("REGEXEXTRACT(ADDRESS(ROW(), 19+$H195), ""[A-Z]+"")"),"S")</f>
        <v>S</v>
      </c>
      <c r="J195" s="89" t="str">
        <f aca="false">IFERROR(__xludf.dummyfunction("REGEXEXTRACT(ADDRESS(ROW(), 25+$H195), ""[A-Z]+"")"),"Y")</f>
        <v>Y</v>
      </c>
      <c r="K195" s="89" t="str">
        <f aca="false">IFERROR(__xludf.dummyfunction("REGEXEXTRACT(ADDRESS(ROW(), 27+$H195), ""[A-Z]+"")"),"AA")</f>
        <v>AA</v>
      </c>
      <c r="L195" s="89" t="str">
        <f aca="false">IFERROR(__xludf.dummyfunction("REGEXEXTRACT(ADDRESS(ROW(), 28+$H195), ""[A-Z]+"")"),"AB")</f>
        <v>AB</v>
      </c>
      <c r="M195" s="89" t="str">
        <f aca="false">IFERROR(__xludf.dummyfunction("REGEXEXTRACT(ADDRESS(ROW(), 34+$H195), ""[A-Z]+"")"),"AH")</f>
        <v>AH</v>
      </c>
      <c r="N195" s="89" t="str">
        <f aca="false">IFERROR(__xludf.dummyfunction("REGEXEXTRACT(ADDRESS(ROW(), 37+$H195), ""[A-Z]+"")"),"AK")</f>
        <v>AK</v>
      </c>
      <c r="O195" s="89" t="str">
        <f aca="false">IFERROR(__xludf.dummyfunction("REGEXEXTRACT(ADDRESS(ROW(), 38+$H195), ""[A-Z]+"")"),"AL")</f>
        <v>AL</v>
      </c>
      <c r="P195" s="89" t="str">
        <f aca="false">IFERROR(__xludf.dummyfunction("REGEXEXTRACT(ADDRESS(ROW(), 39+$H195), ""[A-Z]+"")"),"AM")</f>
        <v>AM</v>
      </c>
      <c r="Q195" s="89" t="str">
        <f aca="false">IFERROR(__xludf.dummyfunction("REGEXEXTRACT(ADDRESS(ROW(), 40+$H195), ""[A-Z]+"")"),"AN")</f>
        <v>AN</v>
      </c>
      <c r="R195" s="89" t="n">
        <f aca="false">IFERROR(__xludf.dummyfunction("IFERROR(QUERY(INDIRECT(""'""&amp;$F195&amp;""'!C3:""&amp;Q195&amp;""""), ""SELECT ""&amp;I195&amp;"", ""&amp;J195&amp;"", ""&amp;K195&amp;"", ""&amp;L195&amp;"", ""&amp;M195&amp;"", ""&amp;N195&amp;"", ""&amp;O195&amp;"", ""&amp;P195&amp;"" WHERE '""&amp;B195&amp;""' CONTAINS D"", 0), """")"),20)</f>
        <v>20</v>
      </c>
      <c r="S195" s="89" t="n">
        <f aca="false">IFERROR(__xludf.dummyfunction("""COMPUTED_VALUE"""),18)</f>
        <v>18</v>
      </c>
      <c r="T195" s="89"/>
      <c r="U195" s="89"/>
      <c r="V195" s="89" t="n">
        <f aca="false">IFERROR(__xludf.dummyfunction("""COMPUTED_VALUE"""),6)</f>
        <v>6</v>
      </c>
      <c r="W195" s="89"/>
      <c r="X195" s="89" t="n">
        <f aca="false">IFERROR(__xludf.dummyfunction("""COMPUTED_VALUE"""),40)</f>
        <v>40</v>
      </c>
      <c r="Y195" s="89" t="n">
        <f aca="false">IFERROR(__xludf.dummyfunction("""COMPUTED_VALUE"""),84)</f>
        <v>84</v>
      </c>
    </row>
    <row r="196" customFormat="false" ht="17.9" hidden="false" customHeight="false" outlineLevel="0" collapsed="false">
      <c r="A196" s="85" t="n">
        <v>195</v>
      </c>
      <c r="B196" s="85" t="n">
        <v>466629</v>
      </c>
      <c r="C196" s="86" t="s">
        <v>295</v>
      </c>
      <c r="D196" s="87" t="s">
        <v>85</v>
      </c>
      <c r="E196" s="88" t="str">
        <f aca="false">D196</f>
        <v>P3132</v>
      </c>
      <c r="F196" s="88" t="str">
        <f aca="false">REPLACE(E196, 1, 3, "")</f>
        <v>32</v>
      </c>
      <c r="G196" s="89" t="str">
        <f aca="true">IFERROR(VLOOKUP(B196,INDIRECT("'"&amp;$F196&amp;"'!D3:D"),1,FALSE()), "Not found")</f>
        <v>Not found</v>
      </c>
      <c r="H196" s="89" t="n">
        <f aca="true">INDIRECT("'"&amp;$F196&amp;"'!D1")</f>
        <v>0</v>
      </c>
      <c r="I196" s="89" t="str">
        <f aca="false">IFERROR(__xludf.dummyfunction("REGEXEXTRACT(ADDRESS(ROW(), 19+$H196), ""[A-Z]+"")"),"S")</f>
        <v>S</v>
      </c>
      <c r="J196" s="89" t="str">
        <f aca="false">IFERROR(__xludf.dummyfunction("REGEXEXTRACT(ADDRESS(ROW(), 25+$H196), ""[A-Z]+"")"),"Y")</f>
        <v>Y</v>
      </c>
      <c r="K196" s="89" t="str">
        <f aca="false">IFERROR(__xludf.dummyfunction("REGEXEXTRACT(ADDRESS(ROW(), 27+$H196), ""[A-Z]+"")"),"AA")</f>
        <v>AA</v>
      </c>
      <c r="L196" s="89" t="str">
        <f aca="false">IFERROR(__xludf.dummyfunction("REGEXEXTRACT(ADDRESS(ROW(), 28+$H196), ""[A-Z]+"")"),"AB")</f>
        <v>AB</v>
      </c>
      <c r="M196" s="89" t="str">
        <f aca="false">IFERROR(__xludf.dummyfunction("REGEXEXTRACT(ADDRESS(ROW(), 34+$H196), ""[A-Z]+"")"),"AH")</f>
        <v>AH</v>
      </c>
      <c r="N196" s="89" t="str">
        <f aca="false">IFERROR(__xludf.dummyfunction("REGEXEXTRACT(ADDRESS(ROW(), 37+$H196), ""[A-Z]+"")"),"AK")</f>
        <v>AK</v>
      </c>
      <c r="O196" s="89" t="str">
        <f aca="false">IFERROR(__xludf.dummyfunction("REGEXEXTRACT(ADDRESS(ROW(), 38+$H196), ""[A-Z]+"")"),"AL")</f>
        <v>AL</v>
      </c>
      <c r="P196" s="89" t="str">
        <f aca="false">IFERROR(__xludf.dummyfunction("REGEXEXTRACT(ADDRESS(ROW(), 39+$H196), ""[A-Z]+"")"),"AM")</f>
        <v>AM</v>
      </c>
      <c r="Q196" s="89" t="str">
        <f aca="false">IFERROR(__xludf.dummyfunction("REGEXEXTRACT(ADDRESS(ROW(), 40+$H196), ""[A-Z]+"")"),"AN")</f>
        <v>AN</v>
      </c>
      <c r="R196" s="89" t="n">
        <f aca="false">IFERROR(__xludf.dummyfunction("IFERROR(QUERY(INDIRECT(""'""&amp;$F196&amp;""'!C3:""&amp;Q196&amp;""""), ""SELECT ""&amp;I196&amp;"", ""&amp;J196&amp;"", ""&amp;K196&amp;"", ""&amp;L196&amp;"", ""&amp;M196&amp;"", ""&amp;N196&amp;"", ""&amp;O196&amp;"", ""&amp;P196&amp;"" WHERE '""&amp;B196&amp;""' CONTAINS D"", 0), """")"),20)</f>
        <v>20</v>
      </c>
      <c r="S196" s="89" t="n">
        <f aca="false">IFERROR(__xludf.dummyfunction("""COMPUTED_VALUE"""),19)</f>
        <v>19</v>
      </c>
      <c r="T196" s="89"/>
      <c r="U196" s="89"/>
      <c r="V196" s="89" t="n">
        <f aca="false">IFERROR(__xludf.dummyfunction("""COMPUTED_VALUE"""),8)</f>
        <v>8</v>
      </c>
      <c r="W196" s="89"/>
      <c r="X196" s="89" t="n">
        <f aca="false">IFERROR(__xludf.dummyfunction("""COMPUTED_VALUE"""),40)</f>
        <v>40</v>
      </c>
      <c r="Y196" s="89" t="n">
        <f aca="false">IFERROR(__xludf.dummyfunction("""COMPUTED_VALUE"""),87)</f>
        <v>87</v>
      </c>
    </row>
    <row r="197" customFormat="false" ht="17.9" hidden="false" customHeight="false" outlineLevel="0" collapsed="false">
      <c r="A197" s="85" t="n">
        <v>196</v>
      </c>
      <c r="B197" s="85" t="n">
        <v>409086</v>
      </c>
      <c r="C197" s="86" t="s">
        <v>296</v>
      </c>
      <c r="D197" s="87" t="s">
        <v>130</v>
      </c>
      <c r="E197" s="88" t="str">
        <f aca="false">D197</f>
        <v>P3117</v>
      </c>
      <c r="F197" s="88" t="str">
        <f aca="false">REPLACE(E197, 1, 3, "")</f>
        <v>17</v>
      </c>
      <c r="G197" s="89" t="str">
        <f aca="true">IFERROR(VLOOKUP(B197,INDIRECT("'"&amp;$F197&amp;"'!D3:D"),1,FALSE()), "Not found")</f>
        <v>Not found</v>
      </c>
      <c r="H197" s="89" t="n">
        <f aca="true">INDIRECT("'"&amp;$F197&amp;"'!D1")</f>
        <v>1</v>
      </c>
      <c r="I197" s="89" t="str">
        <f aca="false">IFERROR(__xludf.dummyfunction("REGEXEXTRACT(ADDRESS(ROW(), 19+$H197), ""[A-Z]+"")"),"T")</f>
        <v>T</v>
      </c>
      <c r="J197" s="89" t="str">
        <f aca="false">IFERROR(__xludf.dummyfunction("REGEXEXTRACT(ADDRESS(ROW(), 25+$H197), ""[A-Z]+"")"),"Z")</f>
        <v>Z</v>
      </c>
      <c r="K197" s="89" t="str">
        <f aca="false">IFERROR(__xludf.dummyfunction("REGEXEXTRACT(ADDRESS(ROW(), 27+$H197), ""[A-Z]+"")"),"AB")</f>
        <v>AB</v>
      </c>
      <c r="L197" s="89" t="str">
        <f aca="false">IFERROR(__xludf.dummyfunction("REGEXEXTRACT(ADDRESS(ROW(), 28+$H197), ""[A-Z]+"")"),"AC")</f>
        <v>AC</v>
      </c>
      <c r="M197" s="89" t="str">
        <f aca="false">IFERROR(__xludf.dummyfunction("REGEXEXTRACT(ADDRESS(ROW(), 34+$H197), ""[A-Z]+"")"),"AI")</f>
        <v>AI</v>
      </c>
      <c r="N197" s="89" t="str">
        <f aca="false">IFERROR(__xludf.dummyfunction("REGEXEXTRACT(ADDRESS(ROW(), 37+$H197), ""[A-Z]+"")"),"AL")</f>
        <v>AL</v>
      </c>
      <c r="O197" s="89" t="str">
        <f aca="false">IFERROR(__xludf.dummyfunction("REGEXEXTRACT(ADDRESS(ROW(), 38+$H197), ""[A-Z]+"")"),"AM")</f>
        <v>AM</v>
      </c>
      <c r="P197" s="89" t="str">
        <f aca="false">IFERROR(__xludf.dummyfunction("REGEXEXTRACT(ADDRESS(ROW(), 39+$H197), ""[A-Z]+"")"),"AN")</f>
        <v>AN</v>
      </c>
      <c r="Q197" s="89" t="str">
        <f aca="false">IFERROR(__xludf.dummyfunction("REGEXEXTRACT(ADDRESS(ROW(), 40+$H197), ""[A-Z]+"")"),"AO")</f>
        <v>AO</v>
      </c>
      <c r="R197" s="89" t="n">
        <f aca="false">IFERROR(__xludf.dummyfunction("IFERROR(QUERY(INDIRECT(""'""&amp;$F197&amp;""'!C3:""&amp;Q197&amp;""""), ""SELECT ""&amp;I197&amp;"", ""&amp;J197&amp;"", ""&amp;K197&amp;"", ""&amp;L197&amp;"", ""&amp;M197&amp;"", ""&amp;N197&amp;"", ""&amp;O197&amp;"", ""&amp;P197&amp;"" WHERE '""&amp;B197&amp;""' CONTAINS D"", 0), """")"),19)</f>
        <v>19</v>
      </c>
      <c r="S197" s="89" t="n">
        <f aca="false">IFERROR(__xludf.dummyfunction("""COMPUTED_VALUE"""),19.8)</f>
        <v>19.8</v>
      </c>
      <c r="T197" s="89"/>
      <c r="U197" s="89"/>
      <c r="V197" s="89" t="n">
        <f aca="false">IFERROR(__xludf.dummyfunction("""COMPUTED_VALUE"""),10)</f>
        <v>10</v>
      </c>
      <c r="W197" s="89"/>
      <c r="X197" s="89" t="n">
        <f aca="false">IFERROR(__xludf.dummyfunction("""COMPUTED_VALUE"""),40)</f>
        <v>40</v>
      </c>
      <c r="Y197" s="89" t="n">
        <f aca="false">IFERROR(__xludf.dummyfunction("""COMPUTED_VALUE"""),88.8)</f>
        <v>88.8</v>
      </c>
    </row>
    <row r="198" customFormat="false" ht="17.9" hidden="false" customHeight="false" outlineLevel="0" collapsed="false">
      <c r="A198" s="85" t="n">
        <v>197</v>
      </c>
      <c r="B198" s="85" t="n">
        <v>373256</v>
      </c>
      <c r="C198" s="86" t="s">
        <v>297</v>
      </c>
      <c r="D198" s="87" t="s">
        <v>183</v>
      </c>
      <c r="E198" s="88" t="str">
        <f aca="false">D198</f>
        <v>P3107</v>
      </c>
      <c r="F198" s="88" t="str">
        <f aca="false">REPLACE(E198, 1, 3, "")</f>
        <v>07</v>
      </c>
      <c r="G198" s="89" t="str">
        <f aca="true">IFERROR(VLOOKUP(B198,INDIRECT("'"&amp;$F198&amp;"'!D3:D"),1,FALSE()), "Not found")</f>
        <v>Not found</v>
      </c>
      <c r="H198" s="89" t="n">
        <f aca="true">INDIRECT("'"&amp;$F198&amp;"'!D1")</f>
        <v>0</v>
      </c>
      <c r="I198" s="89" t="str">
        <f aca="false">IFERROR(__xludf.dummyfunction("REGEXEXTRACT(ADDRESS(ROW(), 19+$H198), ""[A-Z]+"")"),"S")</f>
        <v>S</v>
      </c>
      <c r="J198" s="89" t="str">
        <f aca="false">IFERROR(__xludf.dummyfunction("REGEXEXTRACT(ADDRESS(ROW(), 25+$H198), ""[A-Z]+"")"),"Y")</f>
        <v>Y</v>
      </c>
      <c r="K198" s="89" t="str">
        <f aca="false">IFERROR(__xludf.dummyfunction("REGEXEXTRACT(ADDRESS(ROW(), 27+$H198), ""[A-Z]+"")"),"AA")</f>
        <v>AA</v>
      </c>
      <c r="L198" s="89" t="str">
        <f aca="false">IFERROR(__xludf.dummyfunction("REGEXEXTRACT(ADDRESS(ROW(), 28+$H198), ""[A-Z]+"")"),"AB")</f>
        <v>AB</v>
      </c>
      <c r="M198" s="89" t="str">
        <f aca="false">IFERROR(__xludf.dummyfunction("REGEXEXTRACT(ADDRESS(ROW(), 34+$H198), ""[A-Z]+"")"),"AH")</f>
        <v>AH</v>
      </c>
      <c r="N198" s="89" t="str">
        <f aca="false">IFERROR(__xludf.dummyfunction("REGEXEXTRACT(ADDRESS(ROW(), 37+$H198), ""[A-Z]+"")"),"AK")</f>
        <v>AK</v>
      </c>
      <c r="O198" s="89" t="str">
        <f aca="false">IFERROR(__xludf.dummyfunction("REGEXEXTRACT(ADDRESS(ROW(), 38+$H198), ""[A-Z]+"")"),"AL")</f>
        <v>AL</v>
      </c>
      <c r="P198" s="89" t="str">
        <f aca="false">IFERROR(__xludf.dummyfunction("REGEXEXTRACT(ADDRESS(ROW(), 39+$H198), ""[A-Z]+"")"),"AM")</f>
        <v>AM</v>
      </c>
      <c r="Q198" s="89" t="str">
        <f aca="false">IFERROR(__xludf.dummyfunction("REGEXEXTRACT(ADDRESS(ROW(), 40+$H198), ""[A-Z]+"")"),"AN")</f>
        <v>AN</v>
      </c>
      <c r="R198" s="89" t="str">
        <f aca="false">IFERROR(__xludf.dummyfunction("IFERROR(QUERY(INDIRECT(""'""&amp;$F198&amp;""'!C3:""&amp;Q198&amp;""""), ""SELECT ""&amp;I198&amp;"", ""&amp;J198&amp;"", ""&amp;K198&amp;"", ""&amp;L198&amp;"", ""&amp;M198&amp;"", ""&amp;N198&amp;"", ""&amp;O198&amp;"", ""&amp;P198&amp;"" WHERE '""&amp;B198&amp;""' CONTAINS D"", 0), """")"),"")</f>
        <v/>
      </c>
      <c r="S198" s="89"/>
      <c r="T198" s="89"/>
      <c r="U198" s="89"/>
      <c r="V198" s="89" t="n">
        <f aca="false">IFERROR(__xludf.dummyfunction("""COMPUTED_VALUE"""),0)</f>
        <v>0</v>
      </c>
      <c r="W198" s="89"/>
      <c r="X198" s="89"/>
      <c r="Y198" s="89" t="n">
        <f aca="false">IFERROR(__xludf.dummyfunction("""COMPUTED_VALUE"""),0)</f>
        <v>0</v>
      </c>
    </row>
    <row r="199" customFormat="false" ht="17.9" hidden="false" customHeight="false" outlineLevel="0" collapsed="false">
      <c r="A199" s="85" t="n">
        <v>198</v>
      </c>
      <c r="B199" s="85" t="n">
        <v>466650</v>
      </c>
      <c r="C199" s="86" t="s">
        <v>298</v>
      </c>
      <c r="D199" s="87" t="s">
        <v>100</v>
      </c>
      <c r="E199" s="88" t="str">
        <f aca="false">D199</f>
        <v>P3112</v>
      </c>
      <c r="F199" s="88" t="str">
        <f aca="false">REPLACE(E199, 1, 3, "")</f>
        <v>12</v>
      </c>
      <c r="G199" s="89" t="str">
        <f aca="true">IFERROR(VLOOKUP(B199,INDIRECT("'"&amp;$F199&amp;"'!D3:D"),1,FALSE()), "Not found")</f>
        <v>Not found</v>
      </c>
      <c r="H199" s="89" t="n">
        <f aca="true">INDIRECT("'"&amp;$F199&amp;"'!D1")</f>
        <v>0</v>
      </c>
      <c r="I199" s="89" t="str">
        <f aca="false">IFERROR(__xludf.dummyfunction("REGEXEXTRACT(ADDRESS(ROW(), 19+$H199), ""[A-Z]+"")"),"S")</f>
        <v>S</v>
      </c>
      <c r="J199" s="89" t="str">
        <f aca="false">IFERROR(__xludf.dummyfunction("REGEXEXTRACT(ADDRESS(ROW(), 25+$H199), ""[A-Z]+"")"),"Y")</f>
        <v>Y</v>
      </c>
      <c r="K199" s="89" t="str">
        <f aca="false">IFERROR(__xludf.dummyfunction("REGEXEXTRACT(ADDRESS(ROW(), 27+$H199), ""[A-Z]+"")"),"AA")</f>
        <v>AA</v>
      </c>
      <c r="L199" s="89" t="str">
        <f aca="false">IFERROR(__xludf.dummyfunction("REGEXEXTRACT(ADDRESS(ROW(), 28+$H199), ""[A-Z]+"")"),"AB")</f>
        <v>AB</v>
      </c>
      <c r="M199" s="89" t="str">
        <f aca="false">IFERROR(__xludf.dummyfunction("REGEXEXTRACT(ADDRESS(ROW(), 34+$H199), ""[A-Z]+"")"),"AH")</f>
        <v>AH</v>
      </c>
      <c r="N199" s="89" t="str">
        <f aca="false">IFERROR(__xludf.dummyfunction("REGEXEXTRACT(ADDRESS(ROW(), 37+$H199), ""[A-Z]+"")"),"AK")</f>
        <v>AK</v>
      </c>
      <c r="O199" s="89" t="str">
        <f aca="false">IFERROR(__xludf.dummyfunction("REGEXEXTRACT(ADDRESS(ROW(), 38+$H199), ""[A-Z]+"")"),"AL")</f>
        <v>AL</v>
      </c>
      <c r="P199" s="89" t="str">
        <f aca="false">IFERROR(__xludf.dummyfunction("REGEXEXTRACT(ADDRESS(ROW(), 39+$H199), ""[A-Z]+"")"),"AM")</f>
        <v>AM</v>
      </c>
      <c r="Q199" s="89" t="str">
        <f aca="false">IFERROR(__xludf.dummyfunction("REGEXEXTRACT(ADDRESS(ROW(), 40+$H199), ""[A-Z]+"")"),"AN")</f>
        <v>AN</v>
      </c>
      <c r="R199" s="89" t="n">
        <f aca="false">IFERROR(__xludf.dummyfunction("IFERROR(QUERY(INDIRECT(""'""&amp;$F199&amp;""'!C3:""&amp;Q199&amp;""""), ""SELECT ""&amp;I199&amp;"", ""&amp;J199&amp;"", ""&amp;K199&amp;"", ""&amp;L199&amp;"", ""&amp;M199&amp;"", ""&amp;N199&amp;"", ""&amp;O199&amp;"", ""&amp;P199&amp;"" WHERE '""&amp;B199&amp;""' CONTAINS D"", 0), """")"),19)</f>
        <v>19</v>
      </c>
      <c r="S199" s="89" t="n">
        <f aca="false">IFERROR(__xludf.dummyfunction("""COMPUTED_VALUE"""),20)</f>
        <v>20</v>
      </c>
      <c r="T199" s="89"/>
      <c r="U199" s="89"/>
      <c r="V199" s="89" t="n">
        <f aca="false">IFERROR(__xludf.dummyfunction("""COMPUTED_VALUE"""),10)</f>
        <v>10</v>
      </c>
      <c r="W199" s="89"/>
      <c r="X199" s="89" t="n">
        <f aca="false">IFERROR(__xludf.dummyfunction("""COMPUTED_VALUE"""),40)</f>
        <v>40</v>
      </c>
      <c r="Y199" s="89" t="n">
        <f aca="false">IFERROR(__xludf.dummyfunction("""COMPUTED_VALUE"""),89)</f>
        <v>89</v>
      </c>
    </row>
    <row r="200" customFormat="false" ht="17.9" hidden="false" customHeight="false" outlineLevel="0" collapsed="false">
      <c r="A200" s="85" t="n">
        <v>199</v>
      </c>
      <c r="B200" s="85" t="n">
        <v>466662</v>
      </c>
      <c r="C200" s="86" t="s">
        <v>299</v>
      </c>
      <c r="D200" s="87" t="s">
        <v>125</v>
      </c>
      <c r="E200" s="88" t="str">
        <f aca="false">D200</f>
        <v>P3115</v>
      </c>
      <c r="F200" s="88" t="str">
        <f aca="false">REPLACE(E200, 1, 3, "")</f>
        <v>15</v>
      </c>
      <c r="G200" s="89" t="str">
        <f aca="true">IFERROR(VLOOKUP(B200,INDIRECT("'"&amp;$F200&amp;"'!D3:D"),1,FALSE()), "Not found")</f>
        <v>Not found</v>
      </c>
      <c r="H200" s="89" t="n">
        <f aca="true">INDIRECT("'"&amp;$F200&amp;"'!D1")</f>
        <v>1</v>
      </c>
      <c r="I200" s="89" t="str">
        <f aca="false">IFERROR(__xludf.dummyfunction("REGEXEXTRACT(ADDRESS(ROW(), 19+$H200), ""[A-Z]+"")"),"T")</f>
        <v>T</v>
      </c>
      <c r="J200" s="89" t="str">
        <f aca="false">IFERROR(__xludf.dummyfunction("REGEXEXTRACT(ADDRESS(ROW(), 25+$H200), ""[A-Z]+"")"),"Z")</f>
        <v>Z</v>
      </c>
      <c r="K200" s="89" t="str">
        <f aca="false">IFERROR(__xludf.dummyfunction("REGEXEXTRACT(ADDRESS(ROW(), 27+$H200), ""[A-Z]+"")"),"AB")</f>
        <v>AB</v>
      </c>
      <c r="L200" s="89" t="str">
        <f aca="false">IFERROR(__xludf.dummyfunction("REGEXEXTRACT(ADDRESS(ROW(), 28+$H200), ""[A-Z]+"")"),"AC")</f>
        <v>AC</v>
      </c>
      <c r="M200" s="89" t="str">
        <f aca="false">IFERROR(__xludf.dummyfunction("REGEXEXTRACT(ADDRESS(ROW(), 34+$H200), ""[A-Z]+"")"),"AI")</f>
        <v>AI</v>
      </c>
      <c r="N200" s="89" t="str">
        <f aca="false">IFERROR(__xludf.dummyfunction("REGEXEXTRACT(ADDRESS(ROW(), 37+$H200), ""[A-Z]+"")"),"AL")</f>
        <v>AL</v>
      </c>
      <c r="O200" s="89" t="str">
        <f aca="false">IFERROR(__xludf.dummyfunction("REGEXEXTRACT(ADDRESS(ROW(), 38+$H200), ""[A-Z]+"")"),"AM")</f>
        <v>AM</v>
      </c>
      <c r="P200" s="89" t="str">
        <f aca="false">IFERROR(__xludf.dummyfunction("REGEXEXTRACT(ADDRESS(ROW(), 39+$H200), ""[A-Z]+"")"),"AN")</f>
        <v>AN</v>
      </c>
      <c r="Q200" s="89" t="str">
        <f aca="false">IFERROR(__xludf.dummyfunction("REGEXEXTRACT(ADDRESS(ROW(), 40+$H200), ""[A-Z]+"")"),"AO")</f>
        <v>AO</v>
      </c>
      <c r="R200" s="89" t="n">
        <f aca="false">IFERROR(__xludf.dummyfunction("IFERROR(QUERY(INDIRECT(""'""&amp;$F200&amp;""'!C3:""&amp;Q200&amp;""""), ""SELECT ""&amp;I200&amp;"", ""&amp;J200&amp;"", ""&amp;K200&amp;"", ""&amp;L200&amp;"", ""&amp;M200&amp;"", ""&amp;N200&amp;"", ""&amp;O200&amp;"", ""&amp;P200&amp;"" WHERE '""&amp;B200&amp;""' CONTAINS D"", 0), """")"),18)</f>
        <v>18</v>
      </c>
      <c r="S200" s="89" t="n">
        <f aca="false">IFERROR(__xludf.dummyfunction("""COMPUTED_VALUE"""),17)</f>
        <v>17</v>
      </c>
      <c r="T200" s="89"/>
      <c r="U200" s="89"/>
      <c r="V200" s="89" t="n">
        <f aca="false">IFERROR(__xludf.dummyfunction("""COMPUTED_VALUE"""),6)</f>
        <v>6</v>
      </c>
      <c r="W200" s="89"/>
      <c r="X200" s="89" t="n">
        <f aca="false">IFERROR(__xludf.dummyfunction("""COMPUTED_VALUE"""),29)</f>
        <v>29</v>
      </c>
      <c r="Y200" s="89" t="n">
        <f aca="false">IFERROR(__xludf.dummyfunction("""COMPUTED_VALUE"""),70)</f>
        <v>70</v>
      </c>
    </row>
    <row r="201" customFormat="false" ht="17.9" hidden="false" customHeight="false" outlineLevel="0" collapsed="false">
      <c r="A201" s="85" t="n">
        <v>200</v>
      </c>
      <c r="B201" s="85" t="n">
        <v>466668</v>
      </c>
      <c r="C201" s="86" t="s">
        <v>300</v>
      </c>
      <c r="D201" s="87" t="s">
        <v>89</v>
      </c>
      <c r="E201" s="88" t="str">
        <f aca="false">D201</f>
        <v>P3119</v>
      </c>
      <c r="F201" s="88" t="str">
        <f aca="false">REPLACE(E201, 1, 3, "")</f>
        <v>19</v>
      </c>
      <c r="G201" s="89" t="str">
        <f aca="true">IFERROR(VLOOKUP(B201,INDIRECT("'"&amp;$F201&amp;"'!D3:D"),1,FALSE()), "Not found")</f>
        <v>Not found</v>
      </c>
      <c r="H201" s="89" t="n">
        <f aca="true">INDIRECT("'"&amp;$F201&amp;"'!D1")</f>
        <v>0</v>
      </c>
      <c r="I201" s="89" t="str">
        <f aca="false">IFERROR(__xludf.dummyfunction("REGEXEXTRACT(ADDRESS(ROW(), 19+$H201), ""[A-Z]+"")"),"S")</f>
        <v>S</v>
      </c>
      <c r="J201" s="89" t="str">
        <f aca="false">IFERROR(__xludf.dummyfunction("REGEXEXTRACT(ADDRESS(ROW(), 25+$H201), ""[A-Z]+"")"),"Y")</f>
        <v>Y</v>
      </c>
      <c r="K201" s="89" t="str">
        <f aca="false">IFERROR(__xludf.dummyfunction("REGEXEXTRACT(ADDRESS(ROW(), 27+$H201), ""[A-Z]+"")"),"AA")</f>
        <v>AA</v>
      </c>
      <c r="L201" s="89" t="str">
        <f aca="false">IFERROR(__xludf.dummyfunction("REGEXEXTRACT(ADDRESS(ROW(), 28+$H201), ""[A-Z]+"")"),"AB")</f>
        <v>AB</v>
      </c>
      <c r="M201" s="89" t="str">
        <f aca="false">IFERROR(__xludf.dummyfunction("REGEXEXTRACT(ADDRESS(ROW(), 34+$H201), ""[A-Z]+"")"),"AH")</f>
        <v>AH</v>
      </c>
      <c r="N201" s="89" t="str">
        <f aca="false">IFERROR(__xludf.dummyfunction("REGEXEXTRACT(ADDRESS(ROW(), 37+$H201), ""[A-Z]+"")"),"AK")</f>
        <v>AK</v>
      </c>
      <c r="O201" s="89" t="str">
        <f aca="false">IFERROR(__xludf.dummyfunction("REGEXEXTRACT(ADDRESS(ROW(), 38+$H201), ""[A-Z]+"")"),"AL")</f>
        <v>AL</v>
      </c>
      <c r="P201" s="89" t="str">
        <f aca="false">IFERROR(__xludf.dummyfunction("REGEXEXTRACT(ADDRESS(ROW(), 39+$H201), ""[A-Z]+"")"),"AM")</f>
        <v>AM</v>
      </c>
      <c r="Q201" s="89" t="str">
        <f aca="false">IFERROR(__xludf.dummyfunction("REGEXEXTRACT(ADDRESS(ROW(), 40+$H201), ""[A-Z]+"")"),"AN")</f>
        <v>AN</v>
      </c>
      <c r="R201" s="89" t="str">
        <f aca="false">IFERROR(__xludf.dummyfunction("IFERROR(QUERY(INDIRECT(""'""&amp;$F201&amp;""'!C3:""&amp;Q201&amp;""""), ""SELECT ""&amp;I201&amp;"", ""&amp;J201&amp;"", ""&amp;K201&amp;"", ""&amp;L201&amp;"", ""&amp;M201&amp;"", ""&amp;N201&amp;"", ""&amp;O201&amp;"", ""&amp;P201&amp;"" WHERE '""&amp;B201&amp;""' CONTAINS D"", 0), """")"),"")</f>
        <v/>
      </c>
      <c r="S201" s="89" t="n">
        <f aca="false">IFERROR(__xludf.dummyfunction("""COMPUTED_VALUE"""),18.5)</f>
        <v>18.5</v>
      </c>
      <c r="T201" s="89"/>
      <c r="U201" s="89"/>
      <c r="V201" s="89" t="n">
        <f aca="false">IFERROR(__xludf.dummyfunction("""COMPUTED_VALUE"""),6)</f>
        <v>6</v>
      </c>
      <c r="W201" s="89"/>
      <c r="X201" s="89" t="n">
        <f aca="false">IFERROR(__xludf.dummyfunction("""COMPUTED_VALUE"""),39)</f>
        <v>39</v>
      </c>
      <c r="Y201" s="89" t="n">
        <f aca="false">IFERROR(__xludf.dummyfunction("""COMPUTED_VALUE"""),63.5)</f>
        <v>63.5</v>
      </c>
    </row>
    <row r="202" customFormat="false" ht="17.9" hidden="false" customHeight="false" outlineLevel="0" collapsed="false">
      <c r="A202" s="85" t="n">
        <v>201</v>
      </c>
      <c r="B202" s="85" t="n">
        <v>408048</v>
      </c>
      <c r="C202" s="86" t="s">
        <v>301</v>
      </c>
      <c r="D202" s="87" t="s">
        <v>157</v>
      </c>
      <c r="E202" s="88" t="str">
        <f aca="false">D202</f>
        <v>P3123</v>
      </c>
      <c r="F202" s="88" t="str">
        <f aca="false">REPLACE(E202, 1, 3, "")</f>
        <v>23</v>
      </c>
      <c r="G202" s="89" t="str">
        <f aca="true">IFERROR(VLOOKUP(B202,INDIRECT("'"&amp;$F202&amp;"'!D3:D"),1,FALSE()), "Not found")</f>
        <v>Not found</v>
      </c>
      <c r="H202" s="89" t="n">
        <f aca="true">INDIRECT("'"&amp;$F202&amp;"'!D1")</f>
        <v>1</v>
      </c>
      <c r="I202" s="89" t="str">
        <f aca="false">IFERROR(__xludf.dummyfunction("REGEXEXTRACT(ADDRESS(ROW(), 19+$H202), ""[A-Z]+"")"),"T")</f>
        <v>T</v>
      </c>
      <c r="J202" s="89" t="str">
        <f aca="false">IFERROR(__xludf.dummyfunction("REGEXEXTRACT(ADDRESS(ROW(), 25+$H202), ""[A-Z]+"")"),"Z")</f>
        <v>Z</v>
      </c>
      <c r="K202" s="89" t="str">
        <f aca="false">IFERROR(__xludf.dummyfunction("REGEXEXTRACT(ADDRESS(ROW(), 27+$H202), ""[A-Z]+"")"),"AB")</f>
        <v>AB</v>
      </c>
      <c r="L202" s="89" t="str">
        <f aca="false">IFERROR(__xludf.dummyfunction("REGEXEXTRACT(ADDRESS(ROW(), 28+$H202), ""[A-Z]+"")"),"AC")</f>
        <v>AC</v>
      </c>
      <c r="M202" s="89" t="str">
        <f aca="false">IFERROR(__xludf.dummyfunction("REGEXEXTRACT(ADDRESS(ROW(), 34+$H202), ""[A-Z]+"")"),"AI")</f>
        <v>AI</v>
      </c>
      <c r="N202" s="89" t="str">
        <f aca="false">IFERROR(__xludf.dummyfunction("REGEXEXTRACT(ADDRESS(ROW(), 37+$H202), ""[A-Z]+"")"),"AL")</f>
        <v>AL</v>
      </c>
      <c r="O202" s="89" t="str">
        <f aca="false">IFERROR(__xludf.dummyfunction("REGEXEXTRACT(ADDRESS(ROW(), 38+$H202), ""[A-Z]+"")"),"AM")</f>
        <v>AM</v>
      </c>
      <c r="P202" s="89" t="str">
        <f aca="false">IFERROR(__xludf.dummyfunction("REGEXEXTRACT(ADDRESS(ROW(), 39+$H202), ""[A-Z]+"")"),"AN")</f>
        <v>AN</v>
      </c>
      <c r="Q202" s="89" t="str">
        <f aca="false">IFERROR(__xludf.dummyfunction("REGEXEXTRACT(ADDRESS(ROW(), 40+$H202), ""[A-Z]+"")"),"AO")</f>
        <v>AO</v>
      </c>
      <c r="R202" s="89" t="n">
        <f aca="false">IFERROR(__xludf.dummyfunction("IFERROR(QUERY(INDIRECT(""'""&amp;$F202&amp;""'!C3:""&amp;Q202&amp;""""), ""SELECT ""&amp;I202&amp;"", ""&amp;J202&amp;"", ""&amp;K202&amp;"", ""&amp;L202&amp;"", ""&amp;M202&amp;"", ""&amp;N202&amp;"", ""&amp;O202&amp;"", ""&amp;P202&amp;"" WHERE '""&amp;B202&amp;""' CONTAINS D"", 0), """")"),12)</f>
        <v>12</v>
      </c>
      <c r="S202" s="89"/>
      <c r="T202" s="89"/>
      <c r="U202" s="89"/>
      <c r="V202" s="89" t="n">
        <f aca="false">IFERROR(__xludf.dummyfunction("""COMPUTED_VALUE"""),0.2)</f>
        <v>0.2</v>
      </c>
      <c r="W202" s="89"/>
      <c r="X202" s="89"/>
      <c r="Y202" s="89" t="n">
        <f aca="false">IFERROR(__xludf.dummyfunction("""COMPUTED_VALUE"""),12.2)</f>
        <v>12.2</v>
      </c>
    </row>
    <row r="203" customFormat="false" ht="17.9" hidden="false" customHeight="false" outlineLevel="0" collapsed="false">
      <c r="A203" s="85" t="n">
        <v>202</v>
      </c>
      <c r="B203" s="85" t="n">
        <v>466690</v>
      </c>
      <c r="C203" s="86" t="s">
        <v>302</v>
      </c>
      <c r="D203" s="87" t="s">
        <v>95</v>
      </c>
      <c r="E203" s="88" t="str">
        <f aca="false">D203</f>
        <v>P3106</v>
      </c>
      <c r="F203" s="88" t="str">
        <f aca="false">REPLACE(E203, 1, 3, "")</f>
        <v>06</v>
      </c>
      <c r="G203" s="89" t="str">
        <f aca="true">IFERROR(VLOOKUP(B203,INDIRECT("'"&amp;$F203&amp;"'!D3:D"),1,FALSE()), "Not found")</f>
        <v>Not found</v>
      </c>
      <c r="H203" s="89" t="n">
        <f aca="true">INDIRECT("'"&amp;$F203&amp;"'!D1")</f>
        <v>0</v>
      </c>
      <c r="I203" s="89" t="str">
        <f aca="false">IFERROR(__xludf.dummyfunction("REGEXEXTRACT(ADDRESS(ROW(), 19+$H203), ""[A-Z]+"")"),"S")</f>
        <v>S</v>
      </c>
      <c r="J203" s="89" t="str">
        <f aca="false">IFERROR(__xludf.dummyfunction("REGEXEXTRACT(ADDRESS(ROW(), 25+$H203), ""[A-Z]+"")"),"Y")</f>
        <v>Y</v>
      </c>
      <c r="K203" s="89" t="str">
        <f aca="false">IFERROR(__xludf.dummyfunction("REGEXEXTRACT(ADDRESS(ROW(), 27+$H203), ""[A-Z]+"")"),"AA")</f>
        <v>AA</v>
      </c>
      <c r="L203" s="89" t="str">
        <f aca="false">IFERROR(__xludf.dummyfunction("REGEXEXTRACT(ADDRESS(ROW(), 28+$H203), ""[A-Z]+"")"),"AB")</f>
        <v>AB</v>
      </c>
      <c r="M203" s="89" t="str">
        <f aca="false">IFERROR(__xludf.dummyfunction("REGEXEXTRACT(ADDRESS(ROW(), 34+$H203), ""[A-Z]+"")"),"AH")</f>
        <v>AH</v>
      </c>
      <c r="N203" s="89" t="str">
        <f aca="false">IFERROR(__xludf.dummyfunction("REGEXEXTRACT(ADDRESS(ROW(), 37+$H203), ""[A-Z]+"")"),"AK")</f>
        <v>AK</v>
      </c>
      <c r="O203" s="89" t="str">
        <f aca="false">IFERROR(__xludf.dummyfunction("REGEXEXTRACT(ADDRESS(ROW(), 38+$H203), ""[A-Z]+"")"),"AL")</f>
        <v>AL</v>
      </c>
      <c r="P203" s="89" t="str">
        <f aca="false">IFERROR(__xludf.dummyfunction("REGEXEXTRACT(ADDRESS(ROW(), 39+$H203), ""[A-Z]+"")"),"AM")</f>
        <v>AM</v>
      </c>
      <c r="Q203" s="89" t="str">
        <f aca="false">IFERROR(__xludf.dummyfunction("REGEXEXTRACT(ADDRESS(ROW(), 40+$H203), ""[A-Z]+"")"),"AN")</f>
        <v>AN</v>
      </c>
      <c r="R203" s="89" t="n">
        <f aca="false">IFERROR(__xludf.dummyfunction("IFERROR(QUERY(INDIRECT(""'""&amp;$F203&amp;""'!C3:""&amp;Q203&amp;""""), ""SELECT ""&amp;I203&amp;"", ""&amp;J203&amp;"", ""&amp;K203&amp;"", ""&amp;L203&amp;"", ""&amp;M203&amp;"", ""&amp;N203&amp;"", ""&amp;O203&amp;"", ""&amp;P203&amp;"" WHERE '""&amp;B203&amp;""' CONTAINS D"", 0), """")"),19)</f>
        <v>19</v>
      </c>
      <c r="S203" s="89" t="n">
        <f aca="false">IFERROR(__xludf.dummyfunction("""COMPUTED_VALUE"""),17)</f>
        <v>17</v>
      </c>
      <c r="T203" s="89"/>
      <c r="U203" s="89"/>
      <c r="V203" s="89" t="n">
        <f aca="false">IFERROR(__xludf.dummyfunction("""COMPUTED_VALUE"""),10)</f>
        <v>10</v>
      </c>
      <c r="W203" s="89" t="n">
        <f aca="false">IFERROR(__xludf.dummyfunction("""COMPUTED_VALUE"""),3)</f>
        <v>3</v>
      </c>
      <c r="X203" s="89" t="n">
        <f aca="false">IFERROR(__xludf.dummyfunction("""COMPUTED_VALUE"""),40)</f>
        <v>40</v>
      </c>
      <c r="Y203" s="89" t="n">
        <f aca="false">IFERROR(__xludf.dummyfunction("""COMPUTED_VALUE"""),89)</f>
        <v>89</v>
      </c>
    </row>
    <row r="204" customFormat="false" ht="17.9" hidden="false" customHeight="false" outlineLevel="0" collapsed="false">
      <c r="A204" s="85" t="n">
        <v>203</v>
      </c>
      <c r="B204" s="85" t="n">
        <v>335003</v>
      </c>
      <c r="C204" s="86" t="s">
        <v>303</v>
      </c>
      <c r="D204" s="87" t="s">
        <v>183</v>
      </c>
      <c r="E204" s="88" t="str">
        <f aca="false">D204</f>
        <v>P3107</v>
      </c>
      <c r="F204" s="88" t="str">
        <f aca="false">REPLACE(E204, 1, 3, "")</f>
        <v>07</v>
      </c>
      <c r="G204" s="89" t="str">
        <f aca="true">IFERROR(VLOOKUP(B204,INDIRECT("'"&amp;$F204&amp;"'!D3:D"),1,FALSE()), "Not found")</f>
        <v>Not found</v>
      </c>
      <c r="H204" s="89" t="n">
        <f aca="true">INDIRECT("'"&amp;$F204&amp;"'!D1")</f>
        <v>0</v>
      </c>
      <c r="I204" s="89" t="str">
        <f aca="false">IFERROR(__xludf.dummyfunction("REGEXEXTRACT(ADDRESS(ROW(), 19+$H204), ""[A-Z]+"")"),"S")</f>
        <v>S</v>
      </c>
      <c r="J204" s="89" t="str">
        <f aca="false">IFERROR(__xludf.dummyfunction("REGEXEXTRACT(ADDRESS(ROW(), 25+$H204), ""[A-Z]+"")"),"Y")</f>
        <v>Y</v>
      </c>
      <c r="K204" s="89" t="str">
        <f aca="false">IFERROR(__xludf.dummyfunction("REGEXEXTRACT(ADDRESS(ROW(), 27+$H204), ""[A-Z]+"")"),"AA")</f>
        <v>AA</v>
      </c>
      <c r="L204" s="89" t="str">
        <f aca="false">IFERROR(__xludf.dummyfunction("REGEXEXTRACT(ADDRESS(ROW(), 28+$H204), ""[A-Z]+"")"),"AB")</f>
        <v>AB</v>
      </c>
      <c r="M204" s="89" t="str">
        <f aca="false">IFERROR(__xludf.dummyfunction("REGEXEXTRACT(ADDRESS(ROW(), 34+$H204), ""[A-Z]+"")"),"AH")</f>
        <v>AH</v>
      </c>
      <c r="N204" s="89" t="str">
        <f aca="false">IFERROR(__xludf.dummyfunction("REGEXEXTRACT(ADDRESS(ROW(), 37+$H204), ""[A-Z]+"")"),"AK")</f>
        <v>AK</v>
      </c>
      <c r="O204" s="89" t="str">
        <f aca="false">IFERROR(__xludf.dummyfunction("REGEXEXTRACT(ADDRESS(ROW(), 38+$H204), ""[A-Z]+"")"),"AL")</f>
        <v>AL</v>
      </c>
      <c r="P204" s="89" t="str">
        <f aca="false">IFERROR(__xludf.dummyfunction("REGEXEXTRACT(ADDRESS(ROW(), 39+$H204), ""[A-Z]+"")"),"AM")</f>
        <v>AM</v>
      </c>
      <c r="Q204" s="89" t="str">
        <f aca="false">IFERROR(__xludf.dummyfunction("REGEXEXTRACT(ADDRESS(ROW(), 40+$H204), ""[A-Z]+"")"),"AN")</f>
        <v>AN</v>
      </c>
      <c r="R204" s="89" t="n">
        <f aca="false">IFERROR(__xludf.dummyfunction("IFERROR(QUERY(INDIRECT(""'""&amp;$F204&amp;""'!C3:""&amp;Q204&amp;""""), ""SELECT ""&amp;I204&amp;"", ""&amp;J204&amp;"", ""&amp;K204&amp;"", ""&amp;L204&amp;"", ""&amp;M204&amp;"", ""&amp;N204&amp;"", ""&amp;O204&amp;"", ""&amp;P204&amp;"" WHERE '""&amp;B204&amp;""' CONTAINS D"", 0), """")"),16)</f>
        <v>16</v>
      </c>
      <c r="S204" s="89" t="n">
        <f aca="false">IFERROR(__xludf.dummyfunction("""COMPUTED_VALUE"""),12)</f>
        <v>12</v>
      </c>
      <c r="T204" s="89"/>
      <c r="U204" s="89"/>
      <c r="V204" s="89" t="n">
        <f aca="false">IFERROR(__xludf.dummyfunction("""COMPUTED_VALUE"""),10)</f>
        <v>10</v>
      </c>
      <c r="W204" s="89"/>
      <c r="X204" s="89" t="n">
        <f aca="false">IFERROR(__xludf.dummyfunction("""COMPUTED_VALUE"""),40)</f>
        <v>40</v>
      </c>
      <c r="Y204" s="89" t="n">
        <f aca="false">IFERROR(__xludf.dummyfunction("""COMPUTED_VALUE"""),78)</f>
        <v>78</v>
      </c>
    </row>
    <row r="205" customFormat="false" ht="17.9" hidden="false" customHeight="false" outlineLevel="0" collapsed="false">
      <c r="A205" s="85" t="n">
        <v>204</v>
      </c>
      <c r="B205" s="85" t="n">
        <v>466730</v>
      </c>
      <c r="C205" s="86" t="s">
        <v>304</v>
      </c>
      <c r="D205" s="87" t="s">
        <v>91</v>
      </c>
      <c r="E205" s="88" t="str">
        <f aca="false">D205</f>
        <v>P3111</v>
      </c>
      <c r="F205" s="88" t="str">
        <f aca="false">REPLACE(E205, 1, 3, "")</f>
        <v>11</v>
      </c>
      <c r="G205" s="89" t="str">
        <f aca="true">IFERROR(VLOOKUP(B205,INDIRECT("'"&amp;$F205&amp;"'!D3:D"),1,FALSE()), "Not found")</f>
        <v>Not found</v>
      </c>
      <c r="H205" s="89" t="n">
        <f aca="true">INDIRECT("'"&amp;$F205&amp;"'!D1")</f>
        <v>0</v>
      </c>
      <c r="I205" s="89" t="str">
        <f aca="false">IFERROR(__xludf.dummyfunction("REGEXEXTRACT(ADDRESS(ROW(), 19+$H205), ""[A-Z]+"")"),"S")</f>
        <v>S</v>
      </c>
      <c r="J205" s="89" t="str">
        <f aca="false">IFERROR(__xludf.dummyfunction("REGEXEXTRACT(ADDRESS(ROW(), 25+$H205), ""[A-Z]+"")"),"Y")</f>
        <v>Y</v>
      </c>
      <c r="K205" s="89" t="str">
        <f aca="false">IFERROR(__xludf.dummyfunction("REGEXEXTRACT(ADDRESS(ROW(), 27+$H205), ""[A-Z]+"")"),"AA")</f>
        <v>AA</v>
      </c>
      <c r="L205" s="89" t="str">
        <f aca="false">IFERROR(__xludf.dummyfunction("REGEXEXTRACT(ADDRESS(ROW(), 28+$H205), ""[A-Z]+"")"),"AB")</f>
        <v>AB</v>
      </c>
      <c r="M205" s="89" t="str">
        <f aca="false">IFERROR(__xludf.dummyfunction("REGEXEXTRACT(ADDRESS(ROW(), 34+$H205), ""[A-Z]+"")"),"AH")</f>
        <v>AH</v>
      </c>
      <c r="N205" s="89" t="str">
        <f aca="false">IFERROR(__xludf.dummyfunction("REGEXEXTRACT(ADDRESS(ROW(), 37+$H205), ""[A-Z]+"")"),"AK")</f>
        <v>AK</v>
      </c>
      <c r="O205" s="89" t="str">
        <f aca="false">IFERROR(__xludf.dummyfunction("REGEXEXTRACT(ADDRESS(ROW(), 38+$H205), ""[A-Z]+"")"),"AL")</f>
        <v>AL</v>
      </c>
      <c r="P205" s="89" t="str">
        <f aca="false">IFERROR(__xludf.dummyfunction("REGEXEXTRACT(ADDRESS(ROW(), 39+$H205), ""[A-Z]+"")"),"AM")</f>
        <v>AM</v>
      </c>
      <c r="Q205" s="89" t="str">
        <f aca="false">IFERROR(__xludf.dummyfunction("REGEXEXTRACT(ADDRESS(ROW(), 40+$H205), ""[A-Z]+"")"),"AN")</f>
        <v>AN</v>
      </c>
      <c r="R205" s="89" t="n">
        <f aca="false">IFERROR(__xludf.dummyfunction("IFERROR(QUERY(INDIRECT(""'""&amp;$F205&amp;""'!C3:""&amp;Q205&amp;""""), ""SELECT ""&amp;I205&amp;"", ""&amp;J205&amp;"", ""&amp;K205&amp;"", ""&amp;L205&amp;"", ""&amp;M205&amp;"", ""&amp;N205&amp;"", ""&amp;O205&amp;"", ""&amp;P205&amp;"" WHERE '""&amp;B205&amp;""' CONTAINS D"", 0), """")"),19)</f>
        <v>19</v>
      </c>
      <c r="S205" s="89" t="n">
        <f aca="false">IFERROR(__xludf.dummyfunction("""COMPUTED_VALUE"""),20)</f>
        <v>20</v>
      </c>
      <c r="T205" s="89"/>
      <c r="U205" s="89"/>
      <c r="V205" s="89" t="n">
        <f aca="false">IFERROR(__xludf.dummyfunction("""COMPUTED_VALUE"""),8)</f>
        <v>8</v>
      </c>
      <c r="W205" s="89"/>
      <c r="X205" s="89" t="n">
        <f aca="false">IFERROR(__xludf.dummyfunction("""COMPUTED_VALUE"""),40)</f>
        <v>40</v>
      </c>
      <c r="Y205" s="89" t="n">
        <f aca="false">IFERROR(__xludf.dummyfunction("""COMPUTED_VALUE"""),87)</f>
        <v>87</v>
      </c>
    </row>
    <row r="206" customFormat="false" ht="17.9" hidden="false" customHeight="false" outlineLevel="0" collapsed="false">
      <c r="A206" s="85" t="n">
        <v>205</v>
      </c>
      <c r="B206" s="85" t="n">
        <v>409155</v>
      </c>
      <c r="C206" s="86" t="s">
        <v>305</v>
      </c>
      <c r="D206" s="87" t="s">
        <v>306</v>
      </c>
      <c r="E206" s="88" t="str">
        <f aca="false">D206</f>
        <v>P3124</v>
      </c>
      <c r="F206" s="88" t="str">
        <f aca="false">REPLACE(E206, 1, 3, "")</f>
        <v>24</v>
      </c>
      <c r="G206" s="89" t="n">
        <f aca="true">IFERROR(VLOOKUP(B206,INDIRECT("'"&amp;$F206&amp;"'!D3:D"),1,FALSE()), "Not found")</f>
        <v>409155</v>
      </c>
      <c r="H206" s="89" t="n">
        <f aca="true">INDIRECT("'"&amp;$F206&amp;"'!D1")</f>
        <v>0</v>
      </c>
      <c r="I206" s="89" t="str">
        <f aca="false">IFERROR(__xludf.dummyfunction("REGEXEXTRACT(ADDRESS(ROW(), 19+$H206), ""[A-Z]+"")"),"S")</f>
        <v>S</v>
      </c>
      <c r="J206" s="89" t="str">
        <f aca="false">IFERROR(__xludf.dummyfunction("REGEXEXTRACT(ADDRESS(ROW(), 25+$H206), ""[A-Z]+"")"),"Y")</f>
        <v>Y</v>
      </c>
      <c r="K206" s="89" t="str">
        <f aca="false">IFERROR(__xludf.dummyfunction("REGEXEXTRACT(ADDRESS(ROW(), 27+$H206), ""[A-Z]+"")"),"AA")</f>
        <v>AA</v>
      </c>
      <c r="L206" s="89" t="str">
        <f aca="false">IFERROR(__xludf.dummyfunction("REGEXEXTRACT(ADDRESS(ROW(), 28+$H206), ""[A-Z]+"")"),"AB")</f>
        <v>AB</v>
      </c>
      <c r="M206" s="89" t="str">
        <f aca="false">IFERROR(__xludf.dummyfunction("REGEXEXTRACT(ADDRESS(ROW(), 34+$H206), ""[A-Z]+"")"),"AH")</f>
        <v>AH</v>
      </c>
      <c r="N206" s="89" t="str">
        <f aca="false">IFERROR(__xludf.dummyfunction("REGEXEXTRACT(ADDRESS(ROW(), 37+$H206), ""[A-Z]+"")"),"AK")</f>
        <v>AK</v>
      </c>
      <c r="O206" s="89" t="str">
        <f aca="false">IFERROR(__xludf.dummyfunction("REGEXEXTRACT(ADDRESS(ROW(), 38+$H206), ""[A-Z]+"")"),"AL")</f>
        <v>AL</v>
      </c>
      <c r="P206" s="89" t="str">
        <f aca="false">IFERROR(__xludf.dummyfunction("REGEXEXTRACT(ADDRESS(ROW(), 39+$H206), ""[A-Z]+"")"),"AM")</f>
        <v>AM</v>
      </c>
      <c r="Q206" s="89" t="str">
        <f aca="false">IFERROR(__xludf.dummyfunction("REGEXEXTRACT(ADDRESS(ROW(), 40+$H206), ""[A-Z]+"")"),"AN")</f>
        <v>AN</v>
      </c>
      <c r="R206" s="89" t="n">
        <f aca="false">IFERROR(__xludf.dummyfunction("IFERROR(QUERY(INDIRECT(""'""&amp;$F206&amp;""'!C3:""&amp;Q206&amp;""""), ""SELECT ""&amp;I206&amp;"", ""&amp;J206&amp;"", ""&amp;K206&amp;"", ""&amp;L206&amp;"", ""&amp;M206&amp;"", ""&amp;N206&amp;"", ""&amp;O206&amp;"", ""&amp;P206&amp;"" WHERE '""&amp;B206&amp;""' CONTAINS D"", 0), """")"),14)</f>
        <v>14</v>
      </c>
      <c r="S206" s="89"/>
      <c r="T206" s="89"/>
      <c r="U206" s="89"/>
      <c r="V206" s="89" t="n">
        <f aca="false">IFERROR(__xludf.dummyfunction("""COMPUTED_VALUE"""),0)</f>
        <v>0</v>
      </c>
      <c r="W206" s="89"/>
      <c r="X206" s="89"/>
      <c r="Y206" s="89" t="n">
        <f aca="false">IFERROR(__xludf.dummyfunction("""COMPUTED_VALUE"""),14)</f>
        <v>14</v>
      </c>
    </row>
    <row r="207" customFormat="false" ht="17.9" hidden="false" customHeight="false" outlineLevel="0" collapsed="false">
      <c r="A207" s="85" t="n">
        <v>206</v>
      </c>
      <c r="B207" s="85" t="n">
        <v>374751</v>
      </c>
      <c r="C207" s="86" t="s">
        <v>307</v>
      </c>
      <c r="D207" s="87" t="s">
        <v>81</v>
      </c>
      <c r="E207" s="88" t="str">
        <f aca="false">D207</f>
        <v>P3108</v>
      </c>
      <c r="F207" s="88" t="str">
        <f aca="false">REPLACE(E207, 1, 3, "")</f>
        <v>08</v>
      </c>
      <c r="G207" s="89" t="str">
        <f aca="true">IFERROR(VLOOKUP(B207,INDIRECT("'"&amp;$F207&amp;"'!D3:D"),1,FALSE()), "Not found")</f>
        <v>Not found</v>
      </c>
      <c r="H207" s="89" t="n">
        <f aca="true">INDIRECT("'"&amp;$F207&amp;"'!D1")</f>
        <v>0</v>
      </c>
      <c r="I207" s="89" t="str">
        <f aca="false">IFERROR(__xludf.dummyfunction("REGEXEXTRACT(ADDRESS(ROW(), 19+$H207), ""[A-Z]+"")"),"S")</f>
        <v>S</v>
      </c>
      <c r="J207" s="89" t="str">
        <f aca="false">IFERROR(__xludf.dummyfunction("REGEXEXTRACT(ADDRESS(ROW(), 25+$H207), ""[A-Z]+"")"),"Y")</f>
        <v>Y</v>
      </c>
      <c r="K207" s="89" t="str">
        <f aca="false">IFERROR(__xludf.dummyfunction("REGEXEXTRACT(ADDRESS(ROW(), 27+$H207), ""[A-Z]+"")"),"AA")</f>
        <v>AA</v>
      </c>
      <c r="L207" s="89" t="str">
        <f aca="false">IFERROR(__xludf.dummyfunction("REGEXEXTRACT(ADDRESS(ROW(), 28+$H207), ""[A-Z]+"")"),"AB")</f>
        <v>AB</v>
      </c>
      <c r="M207" s="89" t="str">
        <f aca="false">IFERROR(__xludf.dummyfunction("REGEXEXTRACT(ADDRESS(ROW(), 34+$H207), ""[A-Z]+"")"),"AH")</f>
        <v>AH</v>
      </c>
      <c r="N207" s="89" t="str">
        <f aca="false">IFERROR(__xludf.dummyfunction("REGEXEXTRACT(ADDRESS(ROW(), 37+$H207), ""[A-Z]+"")"),"AK")</f>
        <v>AK</v>
      </c>
      <c r="O207" s="89" t="str">
        <f aca="false">IFERROR(__xludf.dummyfunction("REGEXEXTRACT(ADDRESS(ROW(), 38+$H207), ""[A-Z]+"")"),"AL")</f>
        <v>AL</v>
      </c>
      <c r="P207" s="89" t="str">
        <f aca="false">IFERROR(__xludf.dummyfunction("REGEXEXTRACT(ADDRESS(ROW(), 39+$H207), ""[A-Z]+"")"),"AM")</f>
        <v>AM</v>
      </c>
      <c r="Q207" s="89" t="str">
        <f aca="false">IFERROR(__xludf.dummyfunction("REGEXEXTRACT(ADDRESS(ROW(), 40+$H207), ""[A-Z]+"")"),"AN")</f>
        <v>AN</v>
      </c>
      <c r="R207" s="89" t="n">
        <f aca="false">IFERROR(__xludf.dummyfunction("IFERROR(QUERY(INDIRECT(""'""&amp;$F207&amp;""'!C3:""&amp;Q207&amp;""""), ""SELECT ""&amp;I207&amp;"", ""&amp;J207&amp;"", ""&amp;K207&amp;"", ""&amp;L207&amp;"", ""&amp;M207&amp;"", ""&amp;N207&amp;"", ""&amp;O207&amp;"", ""&amp;P207&amp;"" WHERE '""&amp;B207&amp;""' CONTAINS D"", 0), """")"),17)</f>
        <v>17</v>
      </c>
      <c r="S207" s="89" t="n">
        <f aca="false">IFERROR(__xludf.dummyfunction("""COMPUTED_VALUE"""),15)</f>
        <v>15</v>
      </c>
      <c r="T207" s="89"/>
      <c r="U207" s="89"/>
      <c r="V207" s="89" t="n">
        <f aca="false">IFERROR(__xludf.dummyfunction("""COMPUTED_VALUE"""),6)</f>
        <v>6</v>
      </c>
      <c r="W207" s="89"/>
      <c r="X207" s="89" t="n">
        <f aca="false">IFERROR(__xludf.dummyfunction("""COMPUTED_VALUE"""),40)</f>
        <v>40</v>
      </c>
      <c r="Y207" s="89" t="n">
        <f aca="false">IFERROR(__xludf.dummyfunction("""COMPUTED_VALUE"""),78)</f>
        <v>78</v>
      </c>
    </row>
    <row r="208" customFormat="false" ht="17.9" hidden="false" customHeight="false" outlineLevel="0" collapsed="false">
      <c r="A208" s="85" t="n">
        <v>207</v>
      </c>
      <c r="B208" s="85" t="n">
        <v>466752</v>
      </c>
      <c r="C208" s="86" t="s">
        <v>308</v>
      </c>
      <c r="D208" s="87" t="s">
        <v>100</v>
      </c>
      <c r="E208" s="88" t="str">
        <f aca="false">D208</f>
        <v>P3112</v>
      </c>
      <c r="F208" s="88" t="str">
        <f aca="false">REPLACE(E208, 1, 3, "")</f>
        <v>12</v>
      </c>
      <c r="G208" s="89" t="str">
        <f aca="true">IFERROR(VLOOKUP(B208,INDIRECT("'"&amp;$F208&amp;"'!D3:D"),1,FALSE()), "Not found")</f>
        <v>Not found</v>
      </c>
      <c r="H208" s="89" t="n">
        <f aca="true">INDIRECT("'"&amp;$F208&amp;"'!D1")</f>
        <v>0</v>
      </c>
      <c r="I208" s="89" t="str">
        <f aca="false">IFERROR(__xludf.dummyfunction("REGEXEXTRACT(ADDRESS(ROW(), 19+$H208), ""[A-Z]+"")"),"S")</f>
        <v>S</v>
      </c>
      <c r="J208" s="89" t="str">
        <f aca="false">IFERROR(__xludf.dummyfunction("REGEXEXTRACT(ADDRESS(ROW(), 25+$H208), ""[A-Z]+"")"),"Y")</f>
        <v>Y</v>
      </c>
      <c r="K208" s="89" t="str">
        <f aca="false">IFERROR(__xludf.dummyfunction("REGEXEXTRACT(ADDRESS(ROW(), 27+$H208), ""[A-Z]+"")"),"AA")</f>
        <v>AA</v>
      </c>
      <c r="L208" s="89" t="str">
        <f aca="false">IFERROR(__xludf.dummyfunction("REGEXEXTRACT(ADDRESS(ROW(), 28+$H208), ""[A-Z]+"")"),"AB")</f>
        <v>AB</v>
      </c>
      <c r="M208" s="89" t="str">
        <f aca="false">IFERROR(__xludf.dummyfunction("REGEXEXTRACT(ADDRESS(ROW(), 34+$H208), ""[A-Z]+"")"),"AH")</f>
        <v>AH</v>
      </c>
      <c r="N208" s="89" t="str">
        <f aca="false">IFERROR(__xludf.dummyfunction("REGEXEXTRACT(ADDRESS(ROW(), 37+$H208), ""[A-Z]+"")"),"AK")</f>
        <v>AK</v>
      </c>
      <c r="O208" s="89" t="str">
        <f aca="false">IFERROR(__xludf.dummyfunction("REGEXEXTRACT(ADDRESS(ROW(), 38+$H208), ""[A-Z]+"")"),"AL")</f>
        <v>AL</v>
      </c>
      <c r="P208" s="89" t="str">
        <f aca="false">IFERROR(__xludf.dummyfunction("REGEXEXTRACT(ADDRESS(ROW(), 39+$H208), ""[A-Z]+"")"),"AM")</f>
        <v>AM</v>
      </c>
      <c r="Q208" s="89" t="str">
        <f aca="false">IFERROR(__xludf.dummyfunction("REGEXEXTRACT(ADDRESS(ROW(), 40+$H208), ""[A-Z]+"")"),"AN")</f>
        <v>AN</v>
      </c>
      <c r="R208" s="89" t="n">
        <f aca="false">IFERROR(__xludf.dummyfunction("IFERROR(QUERY(INDIRECT(""'""&amp;$F208&amp;""'!C3:""&amp;Q208&amp;""""), ""SELECT ""&amp;I208&amp;"", ""&amp;J208&amp;"", ""&amp;K208&amp;"", ""&amp;L208&amp;"", ""&amp;M208&amp;"", ""&amp;N208&amp;"", ""&amp;O208&amp;"", ""&amp;P208&amp;"" WHERE '""&amp;B208&amp;""' CONTAINS D"", 0), """")"),18)</f>
        <v>18</v>
      </c>
      <c r="S208" s="89" t="n">
        <f aca="false">IFERROR(__xludf.dummyfunction("""COMPUTED_VALUE"""),20)</f>
        <v>20</v>
      </c>
      <c r="T208" s="89"/>
      <c r="U208" s="89"/>
      <c r="V208" s="89" t="n">
        <f aca="false">IFERROR(__xludf.dummyfunction("""COMPUTED_VALUE"""),6)</f>
        <v>6</v>
      </c>
      <c r="W208" s="89"/>
      <c r="X208" s="89" t="n">
        <f aca="false">IFERROR(__xludf.dummyfunction("""COMPUTED_VALUE"""),40)</f>
        <v>40</v>
      </c>
      <c r="Y208" s="89" t="n">
        <f aca="false">IFERROR(__xludf.dummyfunction("""COMPUTED_VALUE"""),84)</f>
        <v>84</v>
      </c>
    </row>
    <row r="209" customFormat="false" ht="17.9" hidden="false" customHeight="false" outlineLevel="0" collapsed="false">
      <c r="A209" s="85" t="n">
        <v>208</v>
      </c>
      <c r="B209" s="85" t="n">
        <v>407888</v>
      </c>
      <c r="C209" s="86" t="s">
        <v>309</v>
      </c>
      <c r="D209" s="87" t="s">
        <v>127</v>
      </c>
      <c r="E209" s="88" t="str">
        <f aca="false">D209</f>
        <v>P3131</v>
      </c>
      <c r="F209" s="88" t="str">
        <f aca="false">REPLACE(E209, 1, 3, "")</f>
        <v>31</v>
      </c>
      <c r="G209" s="89" t="str">
        <f aca="true">IFERROR(VLOOKUP(B209,INDIRECT("'"&amp;$F209&amp;"'!D3:D"),1,FALSE()), "Not found")</f>
        <v>Not found</v>
      </c>
      <c r="H209" s="89" t="n">
        <f aca="true">INDIRECT("'"&amp;$F209&amp;"'!D1")</f>
        <v>0</v>
      </c>
      <c r="I209" s="89" t="str">
        <f aca="false">IFERROR(__xludf.dummyfunction("REGEXEXTRACT(ADDRESS(ROW(), 19+$H209), ""[A-Z]+"")"),"S")</f>
        <v>S</v>
      </c>
      <c r="J209" s="89" t="str">
        <f aca="false">IFERROR(__xludf.dummyfunction("REGEXEXTRACT(ADDRESS(ROW(), 25+$H209), ""[A-Z]+"")"),"Y")</f>
        <v>Y</v>
      </c>
      <c r="K209" s="89" t="str">
        <f aca="false">IFERROR(__xludf.dummyfunction("REGEXEXTRACT(ADDRESS(ROW(), 27+$H209), ""[A-Z]+"")"),"AA")</f>
        <v>AA</v>
      </c>
      <c r="L209" s="89" t="str">
        <f aca="false">IFERROR(__xludf.dummyfunction("REGEXEXTRACT(ADDRESS(ROW(), 28+$H209), ""[A-Z]+"")"),"AB")</f>
        <v>AB</v>
      </c>
      <c r="M209" s="89" t="str">
        <f aca="false">IFERROR(__xludf.dummyfunction("REGEXEXTRACT(ADDRESS(ROW(), 34+$H209), ""[A-Z]+"")"),"AH")</f>
        <v>AH</v>
      </c>
      <c r="N209" s="89" t="str">
        <f aca="false">IFERROR(__xludf.dummyfunction("REGEXEXTRACT(ADDRESS(ROW(), 37+$H209), ""[A-Z]+"")"),"AK")</f>
        <v>AK</v>
      </c>
      <c r="O209" s="89" t="str">
        <f aca="false">IFERROR(__xludf.dummyfunction("REGEXEXTRACT(ADDRESS(ROW(), 38+$H209), ""[A-Z]+"")"),"AL")</f>
        <v>AL</v>
      </c>
      <c r="P209" s="89" t="str">
        <f aca="false">IFERROR(__xludf.dummyfunction("REGEXEXTRACT(ADDRESS(ROW(), 39+$H209), ""[A-Z]+"")"),"AM")</f>
        <v>AM</v>
      </c>
      <c r="Q209" s="89" t="str">
        <f aca="false">IFERROR(__xludf.dummyfunction("REGEXEXTRACT(ADDRESS(ROW(), 40+$H209), ""[A-Z]+"")"),"AN")</f>
        <v>AN</v>
      </c>
      <c r="R209" s="89" t="n">
        <f aca="false">IFERROR(__xludf.dummyfunction("IFERROR(QUERY(INDIRECT(""'""&amp;$F209&amp;""'!C3:""&amp;Q209&amp;""""), ""SELECT ""&amp;I209&amp;"", ""&amp;J209&amp;"", ""&amp;K209&amp;"", ""&amp;L209&amp;"", ""&amp;M209&amp;"", ""&amp;N209&amp;"", ""&amp;O209&amp;"", ""&amp;P209&amp;"" WHERE '""&amp;B209&amp;""' CONTAINS D"", 0), """")"),19)</f>
        <v>19</v>
      </c>
      <c r="S209" s="89" t="n">
        <f aca="false">IFERROR(__xludf.dummyfunction("""COMPUTED_VALUE"""),19)</f>
        <v>19</v>
      </c>
      <c r="T209" s="89"/>
      <c r="U209" s="89"/>
      <c r="V209" s="89" t="n">
        <f aca="false">IFERROR(__xludf.dummyfunction("""COMPUTED_VALUE"""),9)</f>
        <v>9</v>
      </c>
      <c r="W209" s="89"/>
      <c r="X209" s="89" t="n">
        <f aca="false">IFERROR(__xludf.dummyfunction("""COMPUTED_VALUE"""),40)</f>
        <v>40</v>
      </c>
      <c r="Y209" s="89" t="n">
        <f aca="false">IFERROR(__xludf.dummyfunction("""COMPUTED_VALUE"""),87)</f>
        <v>87</v>
      </c>
    </row>
    <row r="210" customFormat="false" ht="17.9" hidden="false" customHeight="false" outlineLevel="0" collapsed="false">
      <c r="A210" s="85" t="n">
        <v>209</v>
      </c>
      <c r="B210" s="85" t="n">
        <v>407889</v>
      </c>
      <c r="C210" s="86" t="s">
        <v>310</v>
      </c>
      <c r="D210" s="87" t="s">
        <v>121</v>
      </c>
      <c r="E210" s="88" t="str">
        <f aca="false">D210</f>
        <v>P3120</v>
      </c>
      <c r="F210" s="88" t="str">
        <f aca="false">REPLACE(E210, 1, 3, "")</f>
        <v>20</v>
      </c>
      <c r="G210" s="89" t="str">
        <f aca="true">IFERROR(VLOOKUP(B210,INDIRECT("'"&amp;$F210&amp;"'!D3:D"),1,FALSE()), "Not found")</f>
        <v>Not found</v>
      </c>
      <c r="H210" s="89" t="n">
        <f aca="true">INDIRECT("'"&amp;$F210&amp;"'!D1")</f>
        <v>5</v>
      </c>
      <c r="I210" s="89" t="str">
        <f aca="false">IFERROR(__xludf.dummyfunction("REGEXEXTRACT(ADDRESS(ROW(), 19+$H210), ""[A-Z]+"")"),"X")</f>
        <v>X</v>
      </c>
      <c r="J210" s="89" t="str">
        <f aca="false">IFERROR(__xludf.dummyfunction("REGEXEXTRACT(ADDRESS(ROW(), 25+$H210), ""[A-Z]+"")"),"AD")</f>
        <v>AD</v>
      </c>
      <c r="K210" s="89" t="str">
        <f aca="false">IFERROR(__xludf.dummyfunction("REGEXEXTRACT(ADDRESS(ROW(), 27+$H210), ""[A-Z]+"")"),"AF")</f>
        <v>AF</v>
      </c>
      <c r="L210" s="89" t="str">
        <f aca="false">IFERROR(__xludf.dummyfunction("REGEXEXTRACT(ADDRESS(ROW(), 28+$H210), ""[A-Z]+"")"),"AG")</f>
        <v>AG</v>
      </c>
      <c r="M210" s="89" t="str">
        <f aca="false">IFERROR(__xludf.dummyfunction("REGEXEXTRACT(ADDRESS(ROW(), 34+$H210), ""[A-Z]+"")"),"AM")</f>
        <v>AM</v>
      </c>
      <c r="N210" s="89" t="str">
        <f aca="false">IFERROR(__xludf.dummyfunction("REGEXEXTRACT(ADDRESS(ROW(), 37+$H210), ""[A-Z]+"")"),"AP")</f>
        <v>AP</v>
      </c>
      <c r="O210" s="89" t="str">
        <f aca="false">IFERROR(__xludf.dummyfunction("REGEXEXTRACT(ADDRESS(ROW(), 38+$H210), ""[A-Z]+"")"),"AQ")</f>
        <v>AQ</v>
      </c>
      <c r="P210" s="89" t="str">
        <f aca="false">IFERROR(__xludf.dummyfunction("REGEXEXTRACT(ADDRESS(ROW(), 39+$H210), ""[A-Z]+"")"),"AR")</f>
        <v>AR</v>
      </c>
      <c r="Q210" s="89" t="str">
        <f aca="false">IFERROR(__xludf.dummyfunction("REGEXEXTRACT(ADDRESS(ROW(), 40+$H210), ""[A-Z]+"")"),"AS")</f>
        <v>AS</v>
      </c>
      <c r="R210" s="89" t="n">
        <f aca="false">IFERROR(__xludf.dummyfunction("IFERROR(QUERY(INDIRECT(""'""&amp;$F210&amp;""'!C3:""&amp;Q210&amp;""""), ""SELECT ""&amp;I210&amp;"", ""&amp;J210&amp;"", ""&amp;K210&amp;"", ""&amp;L210&amp;"", ""&amp;M210&amp;"", ""&amp;N210&amp;"", ""&amp;O210&amp;"", ""&amp;P210&amp;"" WHERE '""&amp;B210&amp;""' CONTAINS D"", 0), """")"),12)</f>
        <v>12</v>
      </c>
      <c r="S210" s="89" t="n">
        <f aca="false">IFERROR(__xludf.dummyfunction("""COMPUTED_VALUE"""),12)</f>
        <v>12</v>
      </c>
      <c r="T210" s="89"/>
      <c r="U210" s="89"/>
      <c r="V210" s="89" t="n">
        <f aca="false">IFERROR(__xludf.dummyfunction("""COMPUTED_VALUE"""),6)</f>
        <v>6</v>
      </c>
      <c r="W210" s="89"/>
      <c r="X210" s="89" t="n">
        <f aca="false">IFERROR(__xludf.dummyfunction("""COMPUTED_VALUE"""),31)</f>
        <v>31</v>
      </c>
      <c r="Y210" s="89" t="n">
        <f aca="false">IFERROR(__xludf.dummyfunction("""COMPUTED_VALUE"""),61)</f>
        <v>61</v>
      </c>
    </row>
    <row r="211" customFormat="false" ht="17.9" hidden="false" customHeight="false" outlineLevel="0" collapsed="false">
      <c r="A211" s="85" t="n">
        <v>210</v>
      </c>
      <c r="B211" s="85" t="n">
        <v>466785</v>
      </c>
      <c r="C211" s="86" t="s">
        <v>311</v>
      </c>
      <c r="D211" s="87" t="s">
        <v>121</v>
      </c>
      <c r="E211" s="88" t="str">
        <f aca="false">D211</f>
        <v>P3120</v>
      </c>
      <c r="F211" s="88" t="str">
        <f aca="false">REPLACE(E211, 1, 3, "")</f>
        <v>20</v>
      </c>
      <c r="G211" s="89" t="str">
        <f aca="true">IFERROR(VLOOKUP(B211,INDIRECT("'"&amp;$F211&amp;"'!D3:D"),1,FALSE()), "Not found")</f>
        <v>Not found</v>
      </c>
      <c r="H211" s="89" t="n">
        <f aca="true">INDIRECT("'"&amp;$F211&amp;"'!D1")</f>
        <v>5</v>
      </c>
      <c r="I211" s="89" t="str">
        <f aca="false">IFERROR(__xludf.dummyfunction("REGEXEXTRACT(ADDRESS(ROW(), 19+$H211), ""[A-Z]+"")"),"X")</f>
        <v>X</v>
      </c>
      <c r="J211" s="89" t="str">
        <f aca="false">IFERROR(__xludf.dummyfunction("REGEXEXTRACT(ADDRESS(ROW(), 25+$H211), ""[A-Z]+"")"),"AD")</f>
        <v>AD</v>
      </c>
      <c r="K211" s="89" t="str">
        <f aca="false">IFERROR(__xludf.dummyfunction("REGEXEXTRACT(ADDRESS(ROW(), 27+$H211), ""[A-Z]+"")"),"AF")</f>
        <v>AF</v>
      </c>
      <c r="L211" s="89" t="str">
        <f aca="false">IFERROR(__xludf.dummyfunction("REGEXEXTRACT(ADDRESS(ROW(), 28+$H211), ""[A-Z]+"")"),"AG")</f>
        <v>AG</v>
      </c>
      <c r="M211" s="89" t="str">
        <f aca="false">IFERROR(__xludf.dummyfunction("REGEXEXTRACT(ADDRESS(ROW(), 34+$H211), ""[A-Z]+"")"),"AM")</f>
        <v>AM</v>
      </c>
      <c r="N211" s="89" t="str">
        <f aca="false">IFERROR(__xludf.dummyfunction("REGEXEXTRACT(ADDRESS(ROW(), 37+$H211), ""[A-Z]+"")"),"AP")</f>
        <v>AP</v>
      </c>
      <c r="O211" s="89" t="str">
        <f aca="false">IFERROR(__xludf.dummyfunction("REGEXEXTRACT(ADDRESS(ROW(), 38+$H211), ""[A-Z]+"")"),"AQ")</f>
        <v>AQ</v>
      </c>
      <c r="P211" s="89" t="str">
        <f aca="false">IFERROR(__xludf.dummyfunction("REGEXEXTRACT(ADDRESS(ROW(), 39+$H211), ""[A-Z]+"")"),"AR")</f>
        <v>AR</v>
      </c>
      <c r="Q211" s="89" t="str">
        <f aca="false">IFERROR(__xludf.dummyfunction("REGEXEXTRACT(ADDRESS(ROW(), 40+$H211), ""[A-Z]+"")"),"AS")</f>
        <v>AS</v>
      </c>
      <c r="R211" s="89" t="n">
        <f aca="false">IFERROR(__xludf.dummyfunction("IFERROR(QUERY(INDIRECT(""'""&amp;$F211&amp;""'!C3:""&amp;Q211&amp;""""), ""SELECT ""&amp;I211&amp;"", ""&amp;J211&amp;"", ""&amp;K211&amp;"", ""&amp;L211&amp;"", ""&amp;M211&amp;"", ""&amp;N211&amp;"", ""&amp;O211&amp;"", ""&amp;P211&amp;"" WHERE '""&amp;B211&amp;""' CONTAINS D"", 0), """")"),18)</f>
        <v>18</v>
      </c>
      <c r="S211" s="89" t="n">
        <f aca="false">IFERROR(__xludf.dummyfunction("""COMPUTED_VALUE"""),20)</f>
        <v>20</v>
      </c>
      <c r="T211" s="89"/>
      <c r="U211" s="89"/>
      <c r="V211" s="89" t="n">
        <f aca="false">IFERROR(__xludf.dummyfunction("""COMPUTED_VALUE"""),10)</f>
        <v>10</v>
      </c>
      <c r="W211" s="89"/>
      <c r="X211" s="89" t="n">
        <f aca="false">IFERROR(__xludf.dummyfunction("""COMPUTED_VALUE"""),40)</f>
        <v>40</v>
      </c>
      <c r="Y211" s="89" t="n">
        <f aca="false">IFERROR(__xludf.dummyfunction("""COMPUTED_VALUE"""),88)</f>
        <v>88</v>
      </c>
    </row>
    <row r="212" customFormat="false" ht="17.9" hidden="false" customHeight="false" outlineLevel="0" collapsed="false">
      <c r="A212" s="85" t="n">
        <v>211</v>
      </c>
      <c r="B212" s="85" t="n">
        <v>409195</v>
      </c>
      <c r="C212" s="86" t="s">
        <v>312</v>
      </c>
      <c r="D212" s="87" t="s">
        <v>157</v>
      </c>
      <c r="E212" s="88" t="str">
        <f aca="false">D212</f>
        <v>P3123</v>
      </c>
      <c r="F212" s="88" t="str">
        <f aca="false">REPLACE(E212, 1, 3, "")</f>
        <v>23</v>
      </c>
      <c r="G212" s="89" t="str">
        <f aca="true">IFERROR(VLOOKUP(B212,INDIRECT("'"&amp;$F212&amp;"'!D3:D"),1,FALSE()), "Not found")</f>
        <v>Not found</v>
      </c>
      <c r="H212" s="89" t="n">
        <f aca="true">INDIRECT("'"&amp;$F212&amp;"'!D1")</f>
        <v>1</v>
      </c>
      <c r="I212" s="89" t="str">
        <f aca="false">IFERROR(__xludf.dummyfunction("REGEXEXTRACT(ADDRESS(ROW(), 19+$H212), ""[A-Z]+"")"),"T")</f>
        <v>T</v>
      </c>
      <c r="J212" s="89" t="str">
        <f aca="false">IFERROR(__xludf.dummyfunction("REGEXEXTRACT(ADDRESS(ROW(), 25+$H212), ""[A-Z]+"")"),"Z")</f>
        <v>Z</v>
      </c>
      <c r="K212" s="89" t="str">
        <f aca="false">IFERROR(__xludf.dummyfunction("REGEXEXTRACT(ADDRESS(ROW(), 27+$H212), ""[A-Z]+"")"),"AB")</f>
        <v>AB</v>
      </c>
      <c r="L212" s="89" t="str">
        <f aca="false">IFERROR(__xludf.dummyfunction("REGEXEXTRACT(ADDRESS(ROW(), 28+$H212), ""[A-Z]+"")"),"AC")</f>
        <v>AC</v>
      </c>
      <c r="M212" s="89" t="str">
        <f aca="false">IFERROR(__xludf.dummyfunction("REGEXEXTRACT(ADDRESS(ROW(), 34+$H212), ""[A-Z]+"")"),"AI")</f>
        <v>AI</v>
      </c>
      <c r="N212" s="89" t="str">
        <f aca="false">IFERROR(__xludf.dummyfunction("REGEXEXTRACT(ADDRESS(ROW(), 37+$H212), ""[A-Z]+"")"),"AL")</f>
        <v>AL</v>
      </c>
      <c r="O212" s="89" t="str">
        <f aca="false">IFERROR(__xludf.dummyfunction("REGEXEXTRACT(ADDRESS(ROW(), 38+$H212), ""[A-Z]+"")"),"AM")</f>
        <v>AM</v>
      </c>
      <c r="P212" s="89" t="str">
        <f aca="false">IFERROR(__xludf.dummyfunction("REGEXEXTRACT(ADDRESS(ROW(), 39+$H212), ""[A-Z]+"")"),"AN")</f>
        <v>AN</v>
      </c>
      <c r="Q212" s="89" t="str">
        <f aca="false">IFERROR(__xludf.dummyfunction("REGEXEXTRACT(ADDRESS(ROW(), 40+$H212), ""[A-Z]+"")"),"AO")</f>
        <v>AO</v>
      </c>
      <c r="R212" s="89" t="n">
        <f aca="false">IFERROR(__xludf.dummyfunction("IFERROR(QUERY(INDIRECT(""'""&amp;$F212&amp;""'!C3:""&amp;Q212&amp;""""), ""SELECT ""&amp;I212&amp;"", ""&amp;J212&amp;"", ""&amp;K212&amp;"", ""&amp;L212&amp;"", ""&amp;M212&amp;"", ""&amp;N212&amp;"", ""&amp;O212&amp;"", ""&amp;P212&amp;"" WHERE '""&amp;B212&amp;""' CONTAINS D"", 0), """")"),0.01)</f>
        <v>0.01</v>
      </c>
      <c r="S212" s="89"/>
      <c r="T212" s="89"/>
      <c r="U212" s="89"/>
      <c r="V212" s="89" t="n">
        <f aca="false">IFERROR(__xludf.dummyfunction("""COMPUTED_VALUE"""),0.1)</f>
        <v>0.1</v>
      </c>
      <c r="W212" s="89"/>
      <c r="X212" s="89"/>
      <c r="Y212" s="89" t="n">
        <f aca="false">IFERROR(__xludf.dummyfunction("""COMPUTED_VALUE"""),0.11)</f>
        <v>0.11</v>
      </c>
    </row>
    <row r="213" customFormat="false" ht="17.9" hidden="false" customHeight="false" outlineLevel="0" collapsed="false">
      <c r="A213" s="85" t="n">
        <v>212</v>
      </c>
      <c r="B213" s="85" t="n">
        <v>375301</v>
      </c>
      <c r="C213" s="86" t="s">
        <v>313</v>
      </c>
      <c r="D213" s="87" t="s">
        <v>83</v>
      </c>
      <c r="E213" s="88" t="str">
        <f aca="false">D213</f>
        <v>P3109</v>
      </c>
      <c r="F213" s="88" t="str">
        <f aca="false">REPLACE(E213, 1, 3, "")</f>
        <v>09</v>
      </c>
      <c r="G213" s="89" t="str">
        <f aca="true">IFERROR(VLOOKUP(B213,INDIRECT("'"&amp;$F213&amp;"'!D3:D"),1,FALSE()), "Not found")</f>
        <v>Not found</v>
      </c>
      <c r="H213" s="89" t="n">
        <f aca="true">INDIRECT("'"&amp;$F213&amp;"'!D1")</f>
        <v>0</v>
      </c>
      <c r="I213" s="89" t="str">
        <f aca="false">IFERROR(__xludf.dummyfunction("REGEXEXTRACT(ADDRESS(ROW(), 19+$H213), ""[A-Z]+"")"),"S")</f>
        <v>S</v>
      </c>
      <c r="J213" s="89" t="str">
        <f aca="false">IFERROR(__xludf.dummyfunction("REGEXEXTRACT(ADDRESS(ROW(), 25+$H213), ""[A-Z]+"")"),"Y")</f>
        <v>Y</v>
      </c>
      <c r="K213" s="89" t="str">
        <f aca="false">IFERROR(__xludf.dummyfunction("REGEXEXTRACT(ADDRESS(ROW(), 27+$H213), ""[A-Z]+"")"),"AA")</f>
        <v>AA</v>
      </c>
      <c r="L213" s="89" t="str">
        <f aca="false">IFERROR(__xludf.dummyfunction("REGEXEXTRACT(ADDRESS(ROW(), 28+$H213), ""[A-Z]+"")"),"AB")</f>
        <v>AB</v>
      </c>
      <c r="M213" s="89" t="str">
        <f aca="false">IFERROR(__xludf.dummyfunction("REGEXEXTRACT(ADDRESS(ROW(), 34+$H213), ""[A-Z]+"")"),"AH")</f>
        <v>AH</v>
      </c>
      <c r="N213" s="89" t="str">
        <f aca="false">IFERROR(__xludf.dummyfunction("REGEXEXTRACT(ADDRESS(ROW(), 37+$H213), ""[A-Z]+"")"),"AK")</f>
        <v>AK</v>
      </c>
      <c r="O213" s="89" t="str">
        <f aca="false">IFERROR(__xludf.dummyfunction("REGEXEXTRACT(ADDRESS(ROW(), 38+$H213), ""[A-Z]+"")"),"AL")</f>
        <v>AL</v>
      </c>
      <c r="P213" s="89" t="str">
        <f aca="false">IFERROR(__xludf.dummyfunction("REGEXEXTRACT(ADDRESS(ROW(), 39+$H213), ""[A-Z]+"")"),"AM")</f>
        <v>AM</v>
      </c>
      <c r="Q213" s="89" t="str">
        <f aca="false">IFERROR(__xludf.dummyfunction("REGEXEXTRACT(ADDRESS(ROW(), 40+$H213), ""[A-Z]+"")"),"AN")</f>
        <v>AN</v>
      </c>
      <c r="R213" s="89" t="n">
        <f aca="false">IFERROR(__xludf.dummyfunction("IFERROR(QUERY(INDIRECT(""'""&amp;$F213&amp;""'!C3:""&amp;Q213&amp;""""), ""SELECT ""&amp;I213&amp;"", ""&amp;J213&amp;"", ""&amp;K213&amp;"", ""&amp;L213&amp;"", ""&amp;M213&amp;"", ""&amp;N213&amp;"", ""&amp;O213&amp;"", ""&amp;P213&amp;"" WHERE '""&amp;B213&amp;""' CONTAINS D"", 0), """")"),18)</f>
        <v>18</v>
      </c>
      <c r="S213" s="89" t="n">
        <f aca="false">IFERROR(__xludf.dummyfunction("""COMPUTED_VALUE"""),17)</f>
        <v>17</v>
      </c>
      <c r="T213" s="89"/>
      <c r="U213" s="89"/>
      <c r="V213" s="89" t="n">
        <f aca="false">IFERROR(__xludf.dummyfunction("""COMPUTED_VALUE"""),6.02)</f>
        <v>6.02</v>
      </c>
      <c r="W213" s="89"/>
      <c r="X213" s="89" t="n">
        <f aca="false">IFERROR(__xludf.dummyfunction("""COMPUTED_VALUE"""),35)</f>
        <v>35</v>
      </c>
      <c r="Y213" s="89" t="n">
        <f aca="false">IFERROR(__xludf.dummyfunction("""COMPUTED_VALUE"""),76.02)</f>
        <v>76.02</v>
      </c>
    </row>
    <row r="214" customFormat="false" ht="17.9" hidden="false" customHeight="false" outlineLevel="0" collapsed="false">
      <c r="A214" s="85" t="n">
        <v>213</v>
      </c>
      <c r="B214" s="85" t="n">
        <v>466806</v>
      </c>
      <c r="C214" s="86" t="s">
        <v>314</v>
      </c>
      <c r="D214" s="87" t="s">
        <v>127</v>
      </c>
      <c r="E214" s="88" t="str">
        <f aca="false">D214</f>
        <v>P3131</v>
      </c>
      <c r="F214" s="88" t="str">
        <f aca="false">REPLACE(E214, 1, 3, "")</f>
        <v>31</v>
      </c>
      <c r="G214" s="89" t="str">
        <f aca="true">IFERROR(VLOOKUP(B214,INDIRECT("'"&amp;$F214&amp;"'!D3:D"),1,FALSE()), "Not found")</f>
        <v>Not found</v>
      </c>
      <c r="H214" s="89" t="n">
        <f aca="true">INDIRECT("'"&amp;$F214&amp;"'!D1")</f>
        <v>0</v>
      </c>
      <c r="I214" s="89" t="str">
        <f aca="false">IFERROR(__xludf.dummyfunction("REGEXEXTRACT(ADDRESS(ROW(), 19+$H214), ""[A-Z]+"")"),"S")</f>
        <v>S</v>
      </c>
      <c r="J214" s="89" t="str">
        <f aca="false">IFERROR(__xludf.dummyfunction("REGEXEXTRACT(ADDRESS(ROW(), 25+$H214), ""[A-Z]+"")"),"Y")</f>
        <v>Y</v>
      </c>
      <c r="K214" s="89" t="str">
        <f aca="false">IFERROR(__xludf.dummyfunction("REGEXEXTRACT(ADDRESS(ROW(), 27+$H214), ""[A-Z]+"")"),"AA")</f>
        <v>AA</v>
      </c>
      <c r="L214" s="89" t="str">
        <f aca="false">IFERROR(__xludf.dummyfunction("REGEXEXTRACT(ADDRESS(ROW(), 28+$H214), ""[A-Z]+"")"),"AB")</f>
        <v>AB</v>
      </c>
      <c r="M214" s="89" t="str">
        <f aca="false">IFERROR(__xludf.dummyfunction("REGEXEXTRACT(ADDRESS(ROW(), 34+$H214), ""[A-Z]+"")"),"AH")</f>
        <v>AH</v>
      </c>
      <c r="N214" s="89" t="str">
        <f aca="false">IFERROR(__xludf.dummyfunction("REGEXEXTRACT(ADDRESS(ROW(), 37+$H214), ""[A-Z]+"")"),"AK")</f>
        <v>AK</v>
      </c>
      <c r="O214" s="89" t="str">
        <f aca="false">IFERROR(__xludf.dummyfunction("REGEXEXTRACT(ADDRESS(ROW(), 38+$H214), ""[A-Z]+"")"),"AL")</f>
        <v>AL</v>
      </c>
      <c r="P214" s="89" t="str">
        <f aca="false">IFERROR(__xludf.dummyfunction("REGEXEXTRACT(ADDRESS(ROW(), 39+$H214), ""[A-Z]+"")"),"AM")</f>
        <v>AM</v>
      </c>
      <c r="Q214" s="89" t="str">
        <f aca="false">IFERROR(__xludf.dummyfunction("REGEXEXTRACT(ADDRESS(ROW(), 40+$H214), ""[A-Z]+"")"),"AN")</f>
        <v>AN</v>
      </c>
      <c r="R214" s="89" t="str">
        <f aca="false">IFERROR(__xludf.dummyfunction("IFERROR(QUERY(INDIRECT(""'""&amp;$F214&amp;""'!C3:""&amp;Q214&amp;""""), ""SELECT ""&amp;I214&amp;"", ""&amp;J214&amp;"", ""&amp;K214&amp;"", ""&amp;L214&amp;"", ""&amp;M214&amp;"", ""&amp;N214&amp;"", ""&amp;O214&amp;"", ""&amp;P214&amp;"" WHERE '""&amp;B214&amp;""' CONTAINS D"", 0), """")"),"")</f>
        <v/>
      </c>
      <c r="S214" s="89"/>
      <c r="T214" s="89"/>
      <c r="U214" s="89"/>
      <c r="V214" s="89" t="n">
        <f aca="false">IFERROR(__xludf.dummyfunction("""COMPUTED_VALUE"""),0.02)</f>
        <v>0.02</v>
      </c>
      <c r="W214" s="89"/>
      <c r="X214" s="89" t="n">
        <f aca="false">IFERROR(__xludf.dummyfunction("""COMPUTED_VALUE"""),0)</f>
        <v>0</v>
      </c>
      <c r="Y214" s="89" t="n">
        <f aca="false">IFERROR(__xludf.dummyfunction("""COMPUTED_VALUE"""),0.02)</f>
        <v>0.02</v>
      </c>
    </row>
    <row r="215" customFormat="false" ht="17.9" hidden="false" customHeight="false" outlineLevel="0" collapsed="false">
      <c r="A215" s="85" t="n">
        <v>214</v>
      </c>
      <c r="B215" s="85" t="n">
        <v>474334</v>
      </c>
      <c r="C215" s="86" t="s">
        <v>315</v>
      </c>
      <c r="D215" s="87" t="s">
        <v>85</v>
      </c>
      <c r="E215" s="88" t="str">
        <f aca="false">D215</f>
        <v>P3132</v>
      </c>
      <c r="F215" s="88" t="str">
        <f aca="false">REPLACE(E215, 1, 3, "")</f>
        <v>32</v>
      </c>
      <c r="G215" s="89" t="str">
        <f aca="true">IFERROR(VLOOKUP(B215,INDIRECT("'"&amp;$F215&amp;"'!D3:D"),1,FALSE()), "Not found")</f>
        <v>Not found</v>
      </c>
      <c r="H215" s="89" t="n">
        <f aca="true">INDIRECT("'"&amp;$F215&amp;"'!D1")</f>
        <v>0</v>
      </c>
      <c r="I215" s="89" t="str">
        <f aca="false">IFERROR(__xludf.dummyfunction("REGEXEXTRACT(ADDRESS(ROW(), 19+$H215), ""[A-Z]+"")"),"S")</f>
        <v>S</v>
      </c>
      <c r="J215" s="89" t="str">
        <f aca="false">IFERROR(__xludf.dummyfunction("REGEXEXTRACT(ADDRESS(ROW(), 25+$H215), ""[A-Z]+"")"),"Y")</f>
        <v>Y</v>
      </c>
      <c r="K215" s="89" t="str">
        <f aca="false">IFERROR(__xludf.dummyfunction("REGEXEXTRACT(ADDRESS(ROW(), 27+$H215), ""[A-Z]+"")"),"AA")</f>
        <v>AA</v>
      </c>
      <c r="L215" s="89" t="str">
        <f aca="false">IFERROR(__xludf.dummyfunction("REGEXEXTRACT(ADDRESS(ROW(), 28+$H215), ""[A-Z]+"")"),"AB")</f>
        <v>AB</v>
      </c>
      <c r="M215" s="89" t="str">
        <f aca="false">IFERROR(__xludf.dummyfunction("REGEXEXTRACT(ADDRESS(ROW(), 34+$H215), ""[A-Z]+"")"),"AH")</f>
        <v>AH</v>
      </c>
      <c r="N215" s="89" t="str">
        <f aca="false">IFERROR(__xludf.dummyfunction("REGEXEXTRACT(ADDRESS(ROW(), 37+$H215), ""[A-Z]+"")"),"AK")</f>
        <v>AK</v>
      </c>
      <c r="O215" s="89" t="str">
        <f aca="false">IFERROR(__xludf.dummyfunction("REGEXEXTRACT(ADDRESS(ROW(), 38+$H215), ""[A-Z]+"")"),"AL")</f>
        <v>AL</v>
      </c>
      <c r="P215" s="89" t="str">
        <f aca="false">IFERROR(__xludf.dummyfunction("REGEXEXTRACT(ADDRESS(ROW(), 39+$H215), ""[A-Z]+"")"),"AM")</f>
        <v>AM</v>
      </c>
      <c r="Q215" s="89" t="str">
        <f aca="false">IFERROR(__xludf.dummyfunction("REGEXEXTRACT(ADDRESS(ROW(), 40+$H215), ""[A-Z]+"")"),"AN")</f>
        <v>AN</v>
      </c>
      <c r="R215" s="89" t="str">
        <f aca="false">IFERROR(__xludf.dummyfunction("IFERROR(QUERY(INDIRECT(""'""&amp;$F215&amp;""'!C3:""&amp;Q215&amp;""""), ""SELECT ""&amp;I215&amp;"", ""&amp;J215&amp;"", ""&amp;K215&amp;"", ""&amp;L215&amp;"", ""&amp;M215&amp;"", ""&amp;N215&amp;"", ""&amp;O215&amp;"", ""&amp;P215&amp;"" WHERE '""&amp;B215&amp;""' CONTAINS D"", 0), """")"),"")</f>
        <v/>
      </c>
      <c r="S215" s="89"/>
      <c r="T215" s="89"/>
      <c r="U215" s="89"/>
      <c r="V215" s="89" t="n">
        <f aca="false">IFERROR(__xludf.dummyfunction("""COMPUTED_VALUE"""),0)</f>
        <v>0</v>
      </c>
      <c r="W215" s="89"/>
      <c r="X215" s="89"/>
      <c r="Y215" s="89" t="n">
        <f aca="false">IFERROR(__xludf.dummyfunction("""COMPUTED_VALUE"""),0)</f>
        <v>0</v>
      </c>
    </row>
    <row r="216" customFormat="false" ht="17.9" hidden="false" customHeight="false" outlineLevel="0" collapsed="false">
      <c r="A216" s="85" t="n">
        <v>215</v>
      </c>
      <c r="B216" s="85" t="n">
        <v>463222</v>
      </c>
      <c r="C216" s="86" t="s">
        <v>316</v>
      </c>
      <c r="D216" s="87" t="s">
        <v>183</v>
      </c>
      <c r="E216" s="88" t="str">
        <f aca="false">D216</f>
        <v>P3107</v>
      </c>
      <c r="F216" s="88" t="str">
        <f aca="false">REPLACE(E216, 1, 3, "")</f>
        <v>07</v>
      </c>
      <c r="G216" s="89" t="str">
        <f aca="true">IFERROR(VLOOKUP(B216,INDIRECT("'"&amp;$F216&amp;"'!D3:D"),1,FALSE()), "Not found")</f>
        <v>Not found</v>
      </c>
      <c r="H216" s="89" t="n">
        <f aca="true">INDIRECT("'"&amp;$F216&amp;"'!D1")</f>
        <v>0</v>
      </c>
      <c r="I216" s="89" t="str">
        <f aca="false">IFERROR(__xludf.dummyfunction("REGEXEXTRACT(ADDRESS(ROW(), 19+$H216), ""[A-Z]+"")"),"S")</f>
        <v>S</v>
      </c>
      <c r="J216" s="89" t="str">
        <f aca="false">IFERROR(__xludf.dummyfunction("REGEXEXTRACT(ADDRESS(ROW(), 25+$H216), ""[A-Z]+"")"),"Y")</f>
        <v>Y</v>
      </c>
      <c r="K216" s="89" t="str">
        <f aca="false">IFERROR(__xludf.dummyfunction("REGEXEXTRACT(ADDRESS(ROW(), 27+$H216), ""[A-Z]+"")"),"AA")</f>
        <v>AA</v>
      </c>
      <c r="L216" s="89" t="str">
        <f aca="false">IFERROR(__xludf.dummyfunction("REGEXEXTRACT(ADDRESS(ROW(), 28+$H216), ""[A-Z]+"")"),"AB")</f>
        <v>AB</v>
      </c>
      <c r="M216" s="89" t="str">
        <f aca="false">IFERROR(__xludf.dummyfunction("REGEXEXTRACT(ADDRESS(ROW(), 34+$H216), ""[A-Z]+"")"),"AH")</f>
        <v>AH</v>
      </c>
      <c r="N216" s="89" t="str">
        <f aca="false">IFERROR(__xludf.dummyfunction("REGEXEXTRACT(ADDRESS(ROW(), 37+$H216), ""[A-Z]+"")"),"AK")</f>
        <v>AK</v>
      </c>
      <c r="O216" s="89" t="str">
        <f aca="false">IFERROR(__xludf.dummyfunction("REGEXEXTRACT(ADDRESS(ROW(), 38+$H216), ""[A-Z]+"")"),"AL")</f>
        <v>AL</v>
      </c>
      <c r="P216" s="89" t="str">
        <f aca="false">IFERROR(__xludf.dummyfunction("REGEXEXTRACT(ADDRESS(ROW(), 39+$H216), ""[A-Z]+"")"),"AM")</f>
        <v>AM</v>
      </c>
      <c r="Q216" s="89" t="str">
        <f aca="false">IFERROR(__xludf.dummyfunction("REGEXEXTRACT(ADDRESS(ROW(), 40+$H216), ""[A-Z]+"")"),"AN")</f>
        <v>AN</v>
      </c>
      <c r="R216" s="89" t="str">
        <f aca="false">IFERROR(__xludf.dummyfunction("IFERROR(QUERY(INDIRECT(""'""&amp;$F216&amp;""'!C3:""&amp;Q216&amp;""""), ""SELECT ""&amp;I216&amp;"", ""&amp;J216&amp;"", ""&amp;K216&amp;"", ""&amp;L216&amp;"", ""&amp;M216&amp;"", ""&amp;N216&amp;"", ""&amp;O216&amp;"", ""&amp;P216&amp;"" WHERE '""&amp;B216&amp;""' CONTAINS D"", 0), """")"),"")</f>
        <v/>
      </c>
      <c r="S216" s="89"/>
      <c r="T216" s="89"/>
      <c r="U216" s="89"/>
      <c r="V216" s="89" t="n">
        <f aca="false">IFERROR(__xludf.dummyfunction("""COMPUTED_VALUE"""),0)</f>
        <v>0</v>
      </c>
      <c r="W216" s="89"/>
      <c r="X216" s="89"/>
      <c r="Y216" s="89" t="n">
        <f aca="false">IFERROR(__xludf.dummyfunction("""COMPUTED_VALUE"""),0)</f>
        <v>0</v>
      </c>
    </row>
    <row r="217" customFormat="false" ht="17.9" hidden="false" customHeight="false" outlineLevel="0" collapsed="false">
      <c r="A217" s="85" t="n">
        <v>216</v>
      </c>
      <c r="B217" s="85" t="n">
        <v>466815</v>
      </c>
      <c r="C217" s="86" t="s">
        <v>317</v>
      </c>
      <c r="D217" s="87" t="s">
        <v>102</v>
      </c>
      <c r="E217" s="88" t="str">
        <f aca="false">D217</f>
        <v>P3110</v>
      </c>
      <c r="F217" s="88" t="str">
        <f aca="false">REPLACE(E217, 1, 3, "")</f>
        <v>10</v>
      </c>
      <c r="G217" s="89" t="str">
        <f aca="true">IFERROR(VLOOKUP(B217,INDIRECT("'"&amp;$F217&amp;"'!D3:D"),1,FALSE()), "Not found")</f>
        <v>Not found</v>
      </c>
      <c r="H217" s="89" t="n">
        <f aca="true">INDIRECT("'"&amp;$F217&amp;"'!D1")</f>
        <v>0</v>
      </c>
      <c r="I217" s="89" t="str">
        <f aca="false">IFERROR(__xludf.dummyfunction("REGEXEXTRACT(ADDRESS(ROW(), 19+$H217), ""[A-Z]+"")"),"S")</f>
        <v>S</v>
      </c>
      <c r="J217" s="89" t="str">
        <f aca="false">IFERROR(__xludf.dummyfunction("REGEXEXTRACT(ADDRESS(ROW(), 25+$H217), ""[A-Z]+"")"),"Y")</f>
        <v>Y</v>
      </c>
      <c r="K217" s="89" t="str">
        <f aca="false">IFERROR(__xludf.dummyfunction("REGEXEXTRACT(ADDRESS(ROW(), 27+$H217), ""[A-Z]+"")"),"AA")</f>
        <v>AA</v>
      </c>
      <c r="L217" s="89" t="str">
        <f aca="false">IFERROR(__xludf.dummyfunction("REGEXEXTRACT(ADDRESS(ROW(), 28+$H217), ""[A-Z]+"")"),"AB")</f>
        <v>AB</v>
      </c>
      <c r="M217" s="89" t="str">
        <f aca="false">IFERROR(__xludf.dummyfunction("REGEXEXTRACT(ADDRESS(ROW(), 34+$H217), ""[A-Z]+"")"),"AH")</f>
        <v>AH</v>
      </c>
      <c r="N217" s="89" t="str">
        <f aca="false">IFERROR(__xludf.dummyfunction("REGEXEXTRACT(ADDRESS(ROW(), 37+$H217), ""[A-Z]+"")"),"AK")</f>
        <v>AK</v>
      </c>
      <c r="O217" s="89" t="str">
        <f aca="false">IFERROR(__xludf.dummyfunction("REGEXEXTRACT(ADDRESS(ROW(), 38+$H217), ""[A-Z]+"")"),"AL")</f>
        <v>AL</v>
      </c>
      <c r="P217" s="89" t="str">
        <f aca="false">IFERROR(__xludf.dummyfunction("REGEXEXTRACT(ADDRESS(ROW(), 39+$H217), ""[A-Z]+"")"),"AM")</f>
        <v>AM</v>
      </c>
      <c r="Q217" s="89" t="str">
        <f aca="false">IFERROR(__xludf.dummyfunction("REGEXEXTRACT(ADDRESS(ROW(), 40+$H217), ""[A-Z]+"")"),"AN")</f>
        <v>AN</v>
      </c>
      <c r="R217" s="89" t="n">
        <f aca="false">IFERROR(__xludf.dummyfunction("IFERROR(QUERY(INDIRECT(""'""&amp;$F217&amp;""'!C3:""&amp;Q217&amp;""""), ""SELECT ""&amp;I217&amp;"", ""&amp;J217&amp;"", ""&amp;K217&amp;"", ""&amp;L217&amp;"", ""&amp;M217&amp;"", ""&amp;N217&amp;"", ""&amp;O217&amp;"", ""&amp;P217&amp;"" WHERE '""&amp;B217&amp;""' CONTAINS D"", 0), """")"),18)</f>
        <v>18</v>
      </c>
      <c r="S217" s="89" t="n">
        <f aca="false">IFERROR(__xludf.dummyfunction("""COMPUTED_VALUE"""),16)</f>
        <v>16</v>
      </c>
      <c r="T217" s="89"/>
      <c r="U217" s="89"/>
      <c r="V217" s="89" t="n">
        <f aca="false">IFERROR(__xludf.dummyfunction("""COMPUTED_VALUE"""),7)</f>
        <v>7</v>
      </c>
      <c r="W217" s="89"/>
      <c r="X217" s="89" t="n">
        <f aca="false">IFERROR(__xludf.dummyfunction("""COMPUTED_VALUE"""),40)</f>
        <v>40</v>
      </c>
      <c r="Y217" s="89" t="n">
        <f aca="false">IFERROR(__xludf.dummyfunction("""COMPUTED_VALUE"""),81)</f>
        <v>81</v>
      </c>
    </row>
    <row r="218" customFormat="false" ht="17.9" hidden="false" customHeight="false" outlineLevel="0" collapsed="false">
      <c r="A218" s="85" t="n">
        <v>217</v>
      </c>
      <c r="B218" s="85" t="n">
        <v>466816</v>
      </c>
      <c r="C218" s="86" t="s">
        <v>318</v>
      </c>
      <c r="D218" s="87" t="s">
        <v>157</v>
      </c>
      <c r="E218" s="88" t="str">
        <f aca="false">D218</f>
        <v>P3123</v>
      </c>
      <c r="F218" s="88" t="str">
        <f aca="false">REPLACE(E218, 1, 3, "")</f>
        <v>23</v>
      </c>
      <c r="G218" s="89" t="str">
        <f aca="true">IFERROR(VLOOKUP(B218,INDIRECT("'"&amp;$F218&amp;"'!D3:D"),1,FALSE()), "Not found")</f>
        <v>Not found</v>
      </c>
      <c r="H218" s="89" t="n">
        <f aca="true">INDIRECT("'"&amp;$F218&amp;"'!D1")</f>
        <v>1</v>
      </c>
      <c r="I218" s="89" t="str">
        <f aca="false">IFERROR(__xludf.dummyfunction("REGEXEXTRACT(ADDRESS(ROW(), 19+$H218), ""[A-Z]+"")"),"T")</f>
        <v>T</v>
      </c>
      <c r="J218" s="89" t="str">
        <f aca="false">IFERROR(__xludf.dummyfunction("REGEXEXTRACT(ADDRESS(ROW(), 25+$H218), ""[A-Z]+"")"),"Z")</f>
        <v>Z</v>
      </c>
      <c r="K218" s="89" t="str">
        <f aca="false">IFERROR(__xludf.dummyfunction("REGEXEXTRACT(ADDRESS(ROW(), 27+$H218), ""[A-Z]+"")"),"AB")</f>
        <v>AB</v>
      </c>
      <c r="L218" s="89" t="str">
        <f aca="false">IFERROR(__xludf.dummyfunction("REGEXEXTRACT(ADDRESS(ROW(), 28+$H218), ""[A-Z]+"")"),"AC")</f>
        <v>AC</v>
      </c>
      <c r="M218" s="89" t="str">
        <f aca="false">IFERROR(__xludf.dummyfunction("REGEXEXTRACT(ADDRESS(ROW(), 34+$H218), ""[A-Z]+"")"),"AI")</f>
        <v>AI</v>
      </c>
      <c r="N218" s="89" t="str">
        <f aca="false">IFERROR(__xludf.dummyfunction("REGEXEXTRACT(ADDRESS(ROW(), 37+$H218), ""[A-Z]+"")"),"AL")</f>
        <v>AL</v>
      </c>
      <c r="O218" s="89" t="str">
        <f aca="false">IFERROR(__xludf.dummyfunction("REGEXEXTRACT(ADDRESS(ROW(), 38+$H218), ""[A-Z]+"")"),"AM")</f>
        <v>AM</v>
      </c>
      <c r="P218" s="89" t="str">
        <f aca="false">IFERROR(__xludf.dummyfunction("REGEXEXTRACT(ADDRESS(ROW(), 39+$H218), ""[A-Z]+"")"),"AN")</f>
        <v>AN</v>
      </c>
      <c r="Q218" s="89" t="str">
        <f aca="false">IFERROR(__xludf.dummyfunction("REGEXEXTRACT(ADDRESS(ROW(), 40+$H218), ""[A-Z]+"")"),"AO")</f>
        <v>AO</v>
      </c>
      <c r="R218" s="89" t="n">
        <f aca="false">IFERROR(__xludf.dummyfunction("IFERROR(QUERY(INDIRECT(""'""&amp;$F218&amp;""'!C3:""&amp;Q218&amp;""""), ""SELECT ""&amp;I218&amp;"", ""&amp;J218&amp;"", ""&amp;K218&amp;"", ""&amp;L218&amp;"", ""&amp;M218&amp;"", ""&amp;N218&amp;"", ""&amp;O218&amp;"", ""&amp;P218&amp;"" WHERE '""&amp;B218&amp;""' CONTAINS D"", 0), """")"),18.5)</f>
        <v>18.5</v>
      </c>
      <c r="S218" s="89" t="n">
        <f aca="false">IFERROR(__xludf.dummyfunction("""COMPUTED_VALUE"""),19)</f>
        <v>19</v>
      </c>
      <c r="T218" s="89"/>
      <c r="U218" s="89"/>
      <c r="V218" s="89" t="n">
        <f aca="false">IFERROR(__xludf.dummyfunction("""COMPUTED_VALUE"""),6)</f>
        <v>6</v>
      </c>
      <c r="W218" s="89"/>
      <c r="X218" s="89" t="n">
        <f aca="false">IFERROR(__xludf.dummyfunction("""COMPUTED_VALUE"""),40)</f>
        <v>40</v>
      </c>
      <c r="Y218" s="89" t="n">
        <f aca="false">IFERROR(__xludf.dummyfunction("""COMPUTED_VALUE"""),83.5)</f>
        <v>83.5</v>
      </c>
    </row>
    <row r="219" customFormat="false" ht="17.9" hidden="false" customHeight="false" outlineLevel="0" collapsed="false">
      <c r="A219" s="85" t="n">
        <v>218</v>
      </c>
      <c r="B219" s="85" t="n">
        <v>466817</v>
      </c>
      <c r="C219" s="86" t="s">
        <v>319</v>
      </c>
      <c r="D219" s="87" t="s">
        <v>91</v>
      </c>
      <c r="E219" s="88" t="str">
        <f aca="false">D219</f>
        <v>P3111</v>
      </c>
      <c r="F219" s="88" t="str">
        <f aca="false">REPLACE(E219, 1, 3, "")</f>
        <v>11</v>
      </c>
      <c r="G219" s="89" t="str">
        <f aca="true">IFERROR(VLOOKUP(B219,INDIRECT("'"&amp;$F219&amp;"'!D3:D"),1,FALSE()), "Not found")</f>
        <v>Not found</v>
      </c>
      <c r="H219" s="89" t="n">
        <f aca="true">INDIRECT("'"&amp;$F219&amp;"'!D1")</f>
        <v>0</v>
      </c>
      <c r="I219" s="89" t="str">
        <f aca="false">IFERROR(__xludf.dummyfunction("REGEXEXTRACT(ADDRESS(ROW(), 19+$H219), ""[A-Z]+"")"),"S")</f>
        <v>S</v>
      </c>
      <c r="J219" s="89" t="str">
        <f aca="false">IFERROR(__xludf.dummyfunction("REGEXEXTRACT(ADDRESS(ROW(), 25+$H219), ""[A-Z]+"")"),"Y")</f>
        <v>Y</v>
      </c>
      <c r="K219" s="89" t="str">
        <f aca="false">IFERROR(__xludf.dummyfunction("REGEXEXTRACT(ADDRESS(ROW(), 27+$H219), ""[A-Z]+"")"),"AA")</f>
        <v>AA</v>
      </c>
      <c r="L219" s="89" t="str">
        <f aca="false">IFERROR(__xludf.dummyfunction("REGEXEXTRACT(ADDRESS(ROW(), 28+$H219), ""[A-Z]+"")"),"AB")</f>
        <v>AB</v>
      </c>
      <c r="M219" s="89" t="str">
        <f aca="false">IFERROR(__xludf.dummyfunction("REGEXEXTRACT(ADDRESS(ROW(), 34+$H219), ""[A-Z]+"")"),"AH")</f>
        <v>AH</v>
      </c>
      <c r="N219" s="89" t="str">
        <f aca="false">IFERROR(__xludf.dummyfunction("REGEXEXTRACT(ADDRESS(ROW(), 37+$H219), ""[A-Z]+"")"),"AK")</f>
        <v>AK</v>
      </c>
      <c r="O219" s="89" t="str">
        <f aca="false">IFERROR(__xludf.dummyfunction("REGEXEXTRACT(ADDRESS(ROW(), 38+$H219), ""[A-Z]+"")"),"AL")</f>
        <v>AL</v>
      </c>
      <c r="P219" s="89" t="str">
        <f aca="false">IFERROR(__xludf.dummyfunction("REGEXEXTRACT(ADDRESS(ROW(), 39+$H219), ""[A-Z]+"")"),"AM")</f>
        <v>AM</v>
      </c>
      <c r="Q219" s="89" t="str">
        <f aca="false">IFERROR(__xludf.dummyfunction("REGEXEXTRACT(ADDRESS(ROW(), 40+$H219), ""[A-Z]+"")"),"AN")</f>
        <v>AN</v>
      </c>
      <c r="R219" s="89" t="n">
        <f aca="false">IFERROR(__xludf.dummyfunction("IFERROR(QUERY(INDIRECT(""'""&amp;$F219&amp;""'!C3:""&amp;Q219&amp;""""), ""SELECT ""&amp;I219&amp;"", ""&amp;J219&amp;"", ""&amp;K219&amp;"", ""&amp;L219&amp;"", ""&amp;M219&amp;"", ""&amp;N219&amp;"", ""&amp;O219&amp;"", ""&amp;P219&amp;"" WHERE '""&amp;B219&amp;""' CONTAINS D"", 0), """")"),16)</f>
        <v>16</v>
      </c>
      <c r="S219" s="89" t="n">
        <f aca="false">IFERROR(__xludf.dummyfunction("""COMPUTED_VALUE"""),12)</f>
        <v>12</v>
      </c>
      <c r="T219" s="89"/>
      <c r="U219" s="89"/>
      <c r="V219" s="89" t="n">
        <f aca="false">IFERROR(__xludf.dummyfunction("""COMPUTED_VALUE"""),6)</f>
        <v>6</v>
      </c>
      <c r="W219" s="89"/>
      <c r="X219" s="89" t="n">
        <f aca="false">IFERROR(__xludf.dummyfunction("""COMPUTED_VALUE"""),27)</f>
        <v>27</v>
      </c>
      <c r="Y219" s="89" t="n">
        <f aca="false">IFERROR(__xludf.dummyfunction("""COMPUTED_VALUE"""),61)</f>
        <v>61</v>
      </c>
    </row>
    <row r="220" customFormat="false" ht="17.9" hidden="false" customHeight="false" outlineLevel="0" collapsed="false">
      <c r="A220" s="85" t="n">
        <v>219</v>
      </c>
      <c r="B220" s="85" t="n">
        <v>466823</v>
      </c>
      <c r="C220" s="86" t="s">
        <v>320</v>
      </c>
      <c r="D220" s="87" t="s">
        <v>130</v>
      </c>
      <c r="E220" s="88" t="str">
        <f aca="false">D220</f>
        <v>P3117</v>
      </c>
      <c r="F220" s="88" t="str">
        <f aca="false">REPLACE(E220, 1, 3, "")</f>
        <v>17</v>
      </c>
      <c r="G220" s="89" t="str">
        <f aca="true">IFERROR(VLOOKUP(B220,INDIRECT("'"&amp;$F220&amp;"'!D3:D"),1,FALSE()), "Not found")</f>
        <v>Not found</v>
      </c>
      <c r="H220" s="89" t="n">
        <f aca="true">INDIRECT("'"&amp;$F220&amp;"'!D1")</f>
        <v>1</v>
      </c>
      <c r="I220" s="89" t="str">
        <f aca="false">IFERROR(__xludf.dummyfunction("REGEXEXTRACT(ADDRESS(ROW(), 19+$H220), ""[A-Z]+"")"),"T")</f>
        <v>T</v>
      </c>
      <c r="J220" s="89" t="str">
        <f aca="false">IFERROR(__xludf.dummyfunction("REGEXEXTRACT(ADDRESS(ROW(), 25+$H220), ""[A-Z]+"")"),"Z")</f>
        <v>Z</v>
      </c>
      <c r="K220" s="89" t="str">
        <f aca="false">IFERROR(__xludf.dummyfunction("REGEXEXTRACT(ADDRESS(ROW(), 27+$H220), ""[A-Z]+"")"),"AB")</f>
        <v>AB</v>
      </c>
      <c r="L220" s="89" t="str">
        <f aca="false">IFERROR(__xludf.dummyfunction("REGEXEXTRACT(ADDRESS(ROW(), 28+$H220), ""[A-Z]+"")"),"AC")</f>
        <v>AC</v>
      </c>
      <c r="M220" s="89" t="str">
        <f aca="false">IFERROR(__xludf.dummyfunction("REGEXEXTRACT(ADDRESS(ROW(), 34+$H220), ""[A-Z]+"")"),"AI")</f>
        <v>AI</v>
      </c>
      <c r="N220" s="89" t="str">
        <f aca="false">IFERROR(__xludf.dummyfunction("REGEXEXTRACT(ADDRESS(ROW(), 37+$H220), ""[A-Z]+"")"),"AL")</f>
        <v>AL</v>
      </c>
      <c r="O220" s="89" t="str">
        <f aca="false">IFERROR(__xludf.dummyfunction("REGEXEXTRACT(ADDRESS(ROW(), 38+$H220), ""[A-Z]+"")"),"AM")</f>
        <v>AM</v>
      </c>
      <c r="P220" s="89" t="str">
        <f aca="false">IFERROR(__xludf.dummyfunction("REGEXEXTRACT(ADDRESS(ROW(), 39+$H220), ""[A-Z]+"")"),"AN")</f>
        <v>AN</v>
      </c>
      <c r="Q220" s="89" t="str">
        <f aca="false">IFERROR(__xludf.dummyfunction("REGEXEXTRACT(ADDRESS(ROW(), 40+$H220), ""[A-Z]+"")"),"AO")</f>
        <v>AO</v>
      </c>
      <c r="R220" s="89" t="n">
        <f aca="false">IFERROR(__xludf.dummyfunction("IFERROR(QUERY(INDIRECT(""'""&amp;$F220&amp;""'!C3:""&amp;Q220&amp;""""), ""SELECT ""&amp;I220&amp;"", ""&amp;J220&amp;"", ""&amp;K220&amp;"", ""&amp;L220&amp;"", ""&amp;M220&amp;"", ""&amp;N220&amp;"", ""&amp;O220&amp;"", ""&amp;P220&amp;"" WHERE '""&amp;B220&amp;""' CONTAINS D"", 0), """")"),19)</f>
        <v>19</v>
      </c>
      <c r="S220" s="89" t="n">
        <f aca="false">IFERROR(__xludf.dummyfunction("""COMPUTED_VALUE"""),18.5)</f>
        <v>18.5</v>
      </c>
      <c r="T220" s="89"/>
      <c r="U220" s="89"/>
      <c r="V220" s="89" t="n">
        <f aca="false">IFERROR(__xludf.dummyfunction("""COMPUTED_VALUE"""),9.5)</f>
        <v>9.5</v>
      </c>
      <c r="W220" s="89"/>
      <c r="X220" s="89" t="n">
        <f aca="false">IFERROR(__xludf.dummyfunction("""COMPUTED_VALUE"""),40)</f>
        <v>40</v>
      </c>
      <c r="Y220" s="89" t="n">
        <f aca="false">IFERROR(__xludf.dummyfunction("""COMPUTED_VALUE"""),87)</f>
        <v>87</v>
      </c>
    </row>
    <row r="221" customFormat="false" ht="17.9" hidden="false" customHeight="false" outlineLevel="0" collapsed="false">
      <c r="A221" s="85" t="n">
        <v>220</v>
      </c>
      <c r="B221" s="85" t="n">
        <v>466824</v>
      </c>
      <c r="C221" s="86" t="s">
        <v>321</v>
      </c>
      <c r="D221" s="87" t="s">
        <v>83</v>
      </c>
      <c r="E221" s="88" t="str">
        <f aca="false">D221</f>
        <v>P3109</v>
      </c>
      <c r="F221" s="88" t="str">
        <f aca="false">REPLACE(E221, 1, 3, "")</f>
        <v>09</v>
      </c>
      <c r="G221" s="89" t="str">
        <f aca="true">IFERROR(VLOOKUP(B221,INDIRECT("'"&amp;$F221&amp;"'!D3:D"),1,FALSE()), "Not found")</f>
        <v>Not found</v>
      </c>
      <c r="H221" s="89" t="n">
        <f aca="true">INDIRECT("'"&amp;$F221&amp;"'!D1")</f>
        <v>0</v>
      </c>
      <c r="I221" s="89" t="str">
        <f aca="false">IFERROR(__xludf.dummyfunction("REGEXEXTRACT(ADDRESS(ROW(), 19+$H221), ""[A-Z]+"")"),"S")</f>
        <v>S</v>
      </c>
      <c r="J221" s="89" t="str">
        <f aca="false">IFERROR(__xludf.dummyfunction("REGEXEXTRACT(ADDRESS(ROW(), 25+$H221), ""[A-Z]+"")"),"Y")</f>
        <v>Y</v>
      </c>
      <c r="K221" s="89" t="str">
        <f aca="false">IFERROR(__xludf.dummyfunction("REGEXEXTRACT(ADDRESS(ROW(), 27+$H221), ""[A-Z]+"")"),"AA")</f>
        <v>AA</v>
      </c>
      <c r="L221" s="89" t="str">
        <f aca="false">IFERROR(__xludf.dummyfunction("REGEXEXTRACT(ADDRESS(ROW(), 28+$H221), ""[A-Z]+"")"),"AB")</f>
        <v>AB</v>
      </c>
      <c r="M221" s="89" t="str">
        <f aca="false">IFERROR(__xludf.dummyfunction("REGEXEXTRACT(ADDRESS(ROW(), 34+$H221), ""[A-Z]+"")"),"AH")</f>
        <v>AH</v>
      </c>
      <c r="N221" s="89" t="str">
        <f aca="false">IFERROR(__xludf.dummyfunction("REGEXEXTRACT(ADDRESS(ROW(), 37+$H221), ""[A-Z]+"")"),"AK")</f>
        <v>AK</v>
      </c>
      <c r="O221" s="89" t="str">
        <f aca="false">IFERROR(__xludf.dummyfunction("REGEXEXTRACT(ADDRESS(ROW(), 38+$H221), ""[A-Z]+"")"),"AL")</f>
        <v>AL</v>
      </c>
      <c r="P221" s="89" t="str">
        <f aca="false">IFERROR(__xludf.dummyfunction("REGEXEXTRACT(ADDRESS(ROW(), 39+$H221), ""[A-Z]+"")"),"AM")</f>
        <v>AM</v>
      </c>
      <c r="Q221" s="89" t="str">
        <f aca="false">IFERROR(__xludf.dummyfunction("REGEXEXTRACT(ADDRESS(ROW(), 40+$H221), ""[A-Z]+"")"),"AN")</f>
        <v>AN</v>
      </c>
      <c r="R221" s="89" t="n">
        <f aca="false">IFERROR(__xludf.dummyfunction("IFERROR(QUERY(INDIRECT(""'""&amp;$F221&amp;""'!C3:""&amp;Q221&amp;""""), ""SELECT ""&amp;I221&amp;"", ""&amp;J221&amp;"", ""&amp;K221&amp;"", ""&amp;L221&amp;"", ""&amp;M221&amp;"", ""&amp;N221&amp;"", ""&amp;O221&amp;"", ""&amp;P221&amp;"" WHERE '""&amp;B221&amp;""' CONTAINS D"", 0), """")"),12)</f>
        <v>12</v>
      </c>
      <c r="S221" s="89" t="n">
        <f aca="false">IFERROR(__xludf.dummyfunction("""COMPUTED_VALUE"""),12)</f>
        <v>12</v>
      </c>
      <c r="T221" s="89"/>
      <c r="U221" s="89"/>
      <c r="V221" s="89" t="n">
        <f aca="false">IFERROR(__xludf.dummyfunction("""COMPUTED_VALUE"""),6.02)</f>
        <v>6.02</v>
      </c>
      <c r="W221" s="89"/>
      <c r="X221" s="89" t="n">
        <f aca="false">IFERROR(__xludf.dummyfunction("""COMPUTED_VALUE"""),30)</f>
        <v>30</v>
      </c>
      <c r="Y221" s="89" t="n">
        <f aca="false">IFERROR(__xludf.dummyfunction("""COMPUTED_VALUE"""),60.02)</f>
        <v>60.02</v>
      </c>
    </row>
    <row r="222" customFormat="false" ht="17.9" hidden="false" customHeight="false" outlineLevel="0" collapsed="false">
      <c r="A222" s="85" t="n">
        <v>221</v>
      </c>
      <c r="B222" s="85" t="n">
        <v>466828</v>
      </c>
      <c r="C222" s="86" t="s">
        <v>322</v>
      </c>
      <c r="D222" s="87" t="s">
        <v>100</v>
      </c>
      <c r="E222" s="88" t="str">
        <f aca="false">D222</f>
        <v>P3112</v>
      </c>
      <c r="F222" s="88" t="str">
        <f aca="false">REPLACE(E222, 1, 3, "")</f>
        <v>12</v>
      </c>
      <c r="G222" s="89" t="str">
        <f aca="true">IFERROR(VLOOKUP(B222,INDIRECT("'"&amp;$F222&amp;"'!D3:D"),1,FALSE()), "Not found")</f>
        <v>Not found</v>
      </c>
      <c r="H222" s="89" t="n">
        <f aca="true">INDIRECT("'"&amp;$F222&amp;"'!D1")</f>
        <v>0</v>
      </c>
      <c r="I222" s="89" t="str">
        <f aca="false">IFERROR(__xludf.dummyfunction("REGEXEXTRACT(ADDRESS(ROW(), 19+$H222), ""[A-Z]+"")"),"S")</f>
        <v>S</v>
      </c>
      <c r="J222" s="89" t="str">
        <f aca="false">IFERROR(__xludf.dummyfunction("REGEXEXTRACT(ADDRESS(ROW(), 25+$H222), ""[A-Z]+"")"),"Y")</f>
        <v>Y</v>
      </c>
      <c r="K222" s="89" t="str">
        <f aca="false">IFERROR(__xludf.dummyfunction("REGEXEXTRACT(ADDRESS(ROW(), 27+$H222), ""[A-Z]+"")"),"AA")</f>
        <v>AA</v>
      </c>
      <c r="L222" s="89" t="str">
        <f aca="false">IFERROR(__xludf.dummyfunction("REGEXEXTRACT(ADDRESS(ROW(), 28+$H222), ""[A-Z]+"")"),"AB")</f>
        <v>AB</v>
      </c>
      <c r="M222" s="89" t="str">
        <f aca="false">IFERROR(__xludf.dummyfunction("REGEXEXTRACT(ADDRESS(ROW(), 34+$H222), ""[A-Z]+"")"),"AH")</f>
        <v>AH</v>
      </c>
      <c r="N222" s="89" t="str">
        <f aca="false">IFERROR(__xludf.dummyfunction("REGEXEXTRACT(ADDRESS(ROW(), 37+$H222), ""[A-Z]+"")"),"AK")</f>
        <v>AK</v>
      </c>
      <c r="O222" s="89" t="str">
        <f aca="false">IFERROR(__xludf.dummyfunction("REGEXEXTRACT(ADDRESS(ROW(), 38+$H222), ""[A-Z]+"")"),"AL")</f>
        <v>AL</v>
      </c>
      <c r="P222" s="89" t="str">
        <f aca="false">IFERROR(__xludf.dummyfunction("REGEXEXTRACT(ADDRESS(ROW(), 39+$H222), ""[A-Z]+"")"),"AM")</f>
        <v>AM</v>
      </c>
      <c r="Q222" s="89" t="str">
        <f aca="false">IFERROR(__xludf.dummyfunction("REGEXEXTRACT(ADDRESS(ROW(), 40+$H222), ""[A-Z]+"")"),"AN")</f>
        <v>AN</v>
      </c>
      <c r="R222" s="89" t="n">
        <f aca="false">IFERROR(__xludf.dummyfunction("IFERROR(QUERY(INDIRECT(""'""&amp;$F222&amp;""'!C3:""&amp;Q222&amp;""""), ""SELECT ""&amp;I222&amp;"", ""&amp;J222&amp;"", ""&amp;K222&amp;"", ""&amp;L222&amp;"", ""&amp;M222&amp;"", ""&amp;N222&amp;"", ""&amp;O222&amp;"", ""&amp;P222&amp;"" WHERE '""&amp;B222&amp;""' CONTAINS D"", 0), """")"),19)</f>
        <v>19</v>
      </c>
      <c r="S222" s="89" t="n">
        <f aca="false">IFERROR(__xludf.dummyfunction("""COMPUTED_VALUE"""),20)</f>
        <v>20</v>
      </c>
      <c r="T222" s="89"/>
      <c r="U222" s="89"/>
      <c r="V222" s="89" t="n">
        <f aca="false">IFERROR(__xludf.dummyfunction("""COMPUTED_VALUE"""),9)</f>
        <v>9</v>
      </c>
      <c r="W222" s="89"/>
      <c r="X222" s="89" t="n">
        <f aca="false">IFERROR(__xludf.dummyfunction("""COMPUTED_VALUE"""),40)</f>
        <v>40</v>
      </c>
      <c r="Y222" s="89" t="n">
        <f aca="false">IFERROR(__xludf.dummyfunction("""COMPUTED_VALUE"""),88)</f>
        <v>88</v>
      </c>
    </row>
    <row r="223" customFormat="false" ht="17.9" hidden="false" customHeight="false" outlineLevel="0" collapsed="false">
      <c r="A223" s="85" t="n">
        <v>222</v>
      </c>
      <c r="B223" s="85" t="n">
        <v>419310</v>
      </c>
      <c r="C223" s="86" t="s">
        <v>323</v>
      </c>
      <c r="D223" s="87" t="s">
        <v>91</v>
      </c>
      <c r="E223" s="88" t="str">
        <f aca="false">D223</f>
        <v>P3111</v>
      </c>
      <c r="F223" s="88" t="str">
        <f aca="false">REPLACE(E223, 1, 3, "")</f>
        <v>11</v>
      </c>
      <c r="G223" s="89" t="str">
        <f aca="true">IFERROR(VLOOKUP(B223,INDIRECT("'"&amp;$F223&amp;"'!D3:D"),1,FALSE()), "Not found")</f>
        <v>Not found</v>
      </c>
      <c r="H223" s="89" t="n">
        <f aca="true">INDIRECT("'"&amp;$F223&amp;"'!D1")</f>
        <v>0</v>
      </c>
      <c r="I223" s="89" t="str">
        <f aca="false">IFERROR(__xludf.dummyfunction("REGEXEXTRACT(ADDRESS(ROW(), 19+$H223), ""[A-Z]+"")"),"S")</f>
        <v>S</v>
      </c>
      <c r="J223" s="89" t="str">
        <f aca="false">IFERROR(__xludf.dummyfunction("REGEXEXTRACT(ADDRESS(ROW(), 25+$H223), ""[A-Z]+"")"),"Y")</f>
        <v>Y</v>
      </c>
      <c r="K223" s="89" t="str">
        <f aca="false">IFERROR(__xludf.dummyfunction("REGEXEXTRACT(ADDRESS(ROW(), 27+$H223), ""[A-Z]+"")"),"AA")</f>
        <v>AA</v>
      </c>
      <c r="L223" s="89" t="str">
        <f aca="false">IFERROR(__xludf.dummyfunction("REGEXEXTRACT(ADDRESS(ROW(), 28+$H223), ""[A-Z]+"")"),"AB")</f>
        <v>AB</v>
      </c>
      <c r="M223" s="89" t="str">
        <f aca="false">IFERROR(__xludf.dummyfunction("REGEXEXTRACT(ADDRESS(ROW(), 34+$H223), ""[A-Z]+"")"),"AH")</f>
        <v>AH</v>
      </c>
      <c r="N223" s="89" t="str">
        <f aca="false">IFERROR(__xludf.dummyfunction("REGEXEXTRACT(ADDRESS(ROW(), 37+$H223), ""[A-Z]+"")"),"AK")</f>
        <v>AK</v>
      </c>
      <c r="O223" s="89" t="str">
        <f aca="false">IFERROR(__xludf.dummyfunction("REGEXEXTRACT(ADDRESS(ROW(), 38+$H223), ""[A-Z]+"")"),"AL")</f>
        <v>AL</v>
      </c>
      <c r="P223" s="89" t="str">
        <f aca="false">IFERROR(__xludf.dummyfunction("REGEXEXTRACT(ADDRESS(ROW(), 39+$H223), ""[A-Z]+"")"),"AM")</f>
        <v>AM</v>
      </c>
      <c r="Q223" s="89" t="str">
        <f aca="false">IFERROR(__xludf.dummyfunction("REGEXEXTRACT(ADDRESS(ROW(), 40+$H223), ""[A-Z]+"")"),"AN")</f>
        <v>AN</v>
      </c>
      <c r="R223" s="89" t="n">
        <f aca="false">IFERROR(__xludf.dummyfunction("IFERROR(QUERY(INDIRECT(""'""&amp;$F223&amp;""'!C3:""&amp;Q223&amp;""""), ""SELECT ""&amp;I223&amp;"", ""&amp;J223&amp;"", ""&amp;K223&amp;"", ""&amp;L223&amp;"", ""&amp;M223&amp;"", ""&amp;N223&amp;"", ""&amp;O223&amp;"", ""&amp;P223&amp;"" WHERE '""&amp;B223&amp;""' CONTAINS D"", 0), """")"),16)</f>
        <v>16</v>
      </c>
      <c r="S223" s="89" t="n">
        <f aca="false">IFERROR(__xludf.dummyfunction("""COMPUTED_VALUE"""),12)</f>
        <v>12</v>
      </c>
      <c r="T223" s="89"/>
      <c r="U223" s="89"/>
      <c r="V223" s="89" t="n">
        <f aca="false">IFERROR(__xludf.dummyfunction("""COMPUTED_VALUE"""),6)</f>
        <v>6</v>
      </c>
      <c r="W223" s="89"/>
      <c r="X223" s="89" t="n">
        <f aca="false">IFERROR(__xludf.dummyfunction("""COMPUTED_VALUE"""),40)</f>
        <v>40</v>
      </c>
      <c r="Y223" s="89" t="n">
        <f aca="false">IFERROR(__xludf.dummyfunction("""COMPUTED_VALUE"""),74)</f>
        <v>74</v>
      </c>
    </row>
    <row r="224" customFormat="false" ht="17.9" hidden="false" customHeight="false" outlineLevel="0" collapsed="false">
      <c r="A224" s="85" t="n">
        <v>223</v>
      </c>
      <c r="B224" s="85" t="n">
        <v>466852</v>
      </c>
      <c r="C224" s="86" t="s">
        <v>324</v>
      </c>
      <c r="D224" s="87" t="s">
        <v>183</v>
      </c>
      <c r="E224" s="88" t="str">
        <f aca="false">D224</f>
        <v>P3107</v>
      </c>
      <c r="F224" s="88" t="str">
        <f aca="false">REPLACE(E224, 1, 3, "")</f>
        <v>07</v>
      </c>
      <c r="G224" s="89" t="str">
        <f aca="true">IFERROR(VLOOKUP(B224,INDIRECT("'"&amp;$F224&amp;"'!D3:D"),1,FALSE()), "Not found")</f>
        <v>Not found</v>
      </c>
      <c r="H224" s="89" t="n">
        <f aca="true">INDIRECT("'"&amp;$F224&amp;"'!D1")</f>
        <v>0</v>
      </c>
      <c r="I224" s="89" t="str">
        <f aca="false">IFERROR(__xludf.dummyfunction("REGEXEXTRACT(ADDRESS(ROW(), 19+$H224), ""[A-Z]+"")"),"S")</f>
        <v>S</v>
      </c>
      <c r="J224" s="89" t="str">
        <f aca="false">IFERROR(__xludf.dummyfunction("REGEXEXTRACT(ADDRESS(ROW(), 25+$H224), ""[A-Z]+"")"),"Y")</f>
        <v>Y</v>
      </c>
      <c r="K224" s="89" t="str">
        <f aca="false">IFERROR(__xludf.dummyfunction("REGEXEXTRACT(ADDRESS(ROW(), 27+$H224), ""[A-Z]+"")"),"AA")</f>
        <v>AA</v>
      </c>
      <c r="L224" s="89" t="str">
        <f aca="false">IFERROR(__xludf.dummyfunction("REGEXEXTRACT(ADDRESS(ROW(), 28+$H224), ""[A-Z]+"")"),"AB")</f>
        <v>AB</v>
      </c>
      <c r="M224" s="89" t="str">
        <f aca="false">IFERROR(__xludf.dummyfunction("REGEXEXTRACT(ADDRESS(ROW(), 34+$H224), ""[A-Z]+"")"),"AH")</f>
        <v>AH</v>
      </c>
      <c r="N224" s="89" t="str">
        <f aca="false">IFERROR(__xludf.dummyfunction("REGEXEXTRACT(ADDRESS(ROW(), 37+$H224), ""[A-Z]+"")"),"AK")</f>
        <v>AK</v>
      </c>
      <c r="O224" s="89" t="str">
        <f aca="false">IFERROR(__xludf.dummyfunction("REGEXEXTRACT(ADDRESS(ROW(), 38+$H224), ""[A-Z]+"")"),"AL")</f>
        <v>AL</v>
      </c>
      <c r="P224" s="89" t="str">
        <f aca="false">IFERROR(__xludf.dummyfunction("REGEXEXTRACT(ADDRESS(ROW(), 39+$H224), ""[A-Z]+"")"),"AM")</f>
        <v>AM</v>
      </c>
      <c r="Q224" s="89" t="str">
        <f aca="false">IFERROR(__xludf.dummyfunction("REGEXEXTRACT(ADDRESS(ROW(), 40+$H224), ""[A-Z]+"")"),"AN")</f>
        <v>AN</v>
      </c>
      <c r="R224" s="89" t="str">
        <f aca="false">IFERROR(__xludf.dummyfunction("IFERROR(QUERY(INDIRECT(""'""&amp;$F224&amp;""'!C3:""&amp;Q224&amp;""""), ""SELECT ""&amp;I224&amp;"", ""&amp;J224&amp;"", ""&amp;K224&amp;"", ""&amp;L224&amp;"", ""&amp;M224&amp;"", ""&amp;N224&amp;"", ""&amp;O224&amp;"", ""&amp;P224&amp;"" WHERE '""&amp;B224&amp;""' CONTAINS D"", 0), """")"),"")</f>
        <v/>
      </c>
      <c r="S224" s="89"/>
      <c r="T224" s="89"/>
      <c r="U224" s="89"/>
      <c r="V224" s="89" t="n">
        <f aca="false">IFERROR(__xludf.dummyfunction("""COMPUTED_VALUE"""),0)</f>
        <v>0</v>
      </c>
      <c r="W224" s="89"/>
      <c r="X224" s="89"/>
      <c r="Y224" s="89" t="n">
        <f aca="false">IFERROR(__xludf.dummyfunction("""COMPUTED_VALUE"""),0)</f>
        <v>0</v>
      </c>
    </row>
    <row r="225" customFormat="false" ht="17.9" hidden="false" customHeight="false" outlineLevel="0" collapsed="false">
      <c r="A225" s="85" t="n">
        <v>224</v>
      </c>
      <c r="B225" s="85" t="n">
        <v>466853</v>
      </c>
      <c r="C225" s="86" t="s">
        <v>325</v>
      </c>
      <c r="D225" s="87" t="s">
        <v>95</v>
      </c>
      <c r="E225" s="88" t="str">
        <f aca="false">D225</f>
        <v>P3106</v>
      </c>
      <c r="F225" s="88" t="str">
        <f aca="false">REPLACE(E225, 1, 3, "")</f>
        <v>06</v>
      </c>
      <c r="G225" s="89" t="str">
        <f aca="true">IFERROR(VLOOKUP(B225,INDIRECT("'"&amp;$F225&amp;"'!D3:D"),1,FALSE()), "Not found")</f>
        <v>Not found</v>
      </c>
      <c r="H225" s="89" t="n">
        <f aca="true">INDIRECT("'"&amp;$F225&amp;"'!D1")</f>
        <v>0</v>
      </c>
      <c r="I225" s="89" t="str">
        <f aca="false">IFERROR(__xludf.dummyfunction("REGEXEXTRACT(ADDRESS(ROW(), 19+$H225), ""[A-Z]+"")"),"S")</f>
        <v>S</v>
      </c>
      <c r="J225" s="89" t="str">
        <f aca="false">IFERROR(__xludf.dummyfunction("REGEXEXTRACT(ADDRESS(ROW(), 25+$H225), ""[A-Z]+"")"),"Y")</f>
        <v>Y</v>
      </c>
      <c r="K225" s="89" t="str">
        <f aca="false">IFERROR(__xludf.dummyfunction("REGEXEXTRACT(ADDRESS(ROW(), 27+$H225), ""[A-Z]+"")"),"AA")</f>
        <v>AA</v>
      </c>
      <c r="L225" s="89" t="str">
        <f aca="false">IFERROR(__xludf.dummyfunction("REGEXEXTRACT(ADDRESS(ROW(), 28+$H225), ""[A-Z]+"")"),"AB")</f>
        <v>AB</v>
      </c>
      <c r="M225" s="89" t="str">
        <f aca="false">IFERROR(__xludf.dummyfunction("REGEXEXTRACT(ADDRESS(ROW(), 34+$H225), ""[A-Z]+"")"),"AH")</f>
        <v>AH</v>
      </c>
      <c r="N225" s="89" t="str">
        <f aca="false">IFERROR(__xludf.dummyfunction("REGEXEXTRACT(ADDRESS(ROW(), 37+$H225), ""[A-Z]+"")"),"AK")</f>
        <v>AK</v>
      </c>
      <c r="O225" s="89" t="str">
        <f aca="false">IFERROR(__xludf.dummyfunction("REGEXEXTRACT(ADDRESS(ROW(), 38+$H225), ""[A-Z]+"")"),"AL")</f>
        <v>AL</v>
      </c>
      <c r="P225" s="89" t="str">
        <f aca="false">IFERROR(__xludf.dummyfunction("REGEXEXTRACT(ADDRESS(ROW(), 39+$H225), ""[A-Z]+"")"),"AM")</f>
        <v>AM</v>
      </c>
      <c r="Q225" s="89" t="str">
        <f aca="false">IFERROR(__xludf.dummyfunction("REGEXEXTRACT(ADDRESS(ROW(), 40+$H225), ""[A-Z]+"")"),"AN")</f>
        <v>AN</v>
      </c>
      <c r="R225" s="89" t="n">
        <f aca="false">IFERROR(__xludf.dummyfunction("IFERROR(QUERY(INDIRECT(""'""&amp;$F225&amp;""'!C3:""&amp;Q225&amp;""""), ""SELECT ""&amp;I225&amp;"", ""&amp;J225&amp;"", ""&amp;K225&amp;"", ""&amp;L225&amp;"", ""&amp;M225&amp;"", ""&amp;N225&amp;"", ""&amp;O225&amp;"", ""&amp;P225&amp;"" WHERE '""&amp;B225&amp;""' CONTAINS D"", 0), """")"),15)</f>
        <v>15</v>
      </c>
      <c r="S225" s="89" t="n">
        <f aca="false">IFERROR(__xludf.dummyfunction("""COMPUTED_VALUE"""),17)</f>
        <v>17</v>
      </c>
      <c r="T225" s="89"/>
      <c r="U225" s="89"/>
      <c r="V225" s="89" t="n">
        <f aca="false">IFERROR(__xludf.dummyfunction("""COMPUTED_VALUE"""),6)</f>
        <v>6</v>
      </c>
      <c r="W225" s="89"/>
      <c r="X225" s="89" t="n">
        <f aca="false">IFERROR(__xludf.dummyfunction("""COMPUTED_VALUE"""),39)</f>
        <v>39</v>
      </c>
      <c r="Y225" s="89" t="n">
        <f aca="false">IFERROR(__xludf.dummyfunction("""COMPUTED_VALUE"""),77)</f>
        <v>77</v>
      </c>
    </row>
    <row r="226" customFormat="false" ht="17.9" hidden="false" customHeight="false" outlineLevel="0" collapsed="false">
      <c r="A226" s="85" t="n">
        <v>225</v>
      </c>
      <c r="B226" s="85" t="n">
        <v>466855</v>
      </c>
      <c r="C226" s="86" t="s">
        <v>326</v>
      </c>
      <c r="D226" s="87" t="s">
        <v>157</v>
      </c>
      <c r="E226" s="88" t="str">
        <f aca="false">D226</f>
        <v>P3123</v>
      </c>
      <c r="F226" s="88" t="str">
        <f aca="false">REPLACE(E226, 1, 3, "")</f>
        <v>23</v>
      </c>
      <c r="G226" s="89" t="str">
        <f aca="true">IFERROR(VLOOKUP(B226,INDIRECT("'"&amp;$F226&amp;"'!D3:D"),1,FALSE()), "Not found")</f>
        <v>Not found</v>
      </c>
      <c r="H226" s="89" t="n">
        <f aca="true">INDIRECT("'"&amp;$F226&amp;"'!D1")</f>
        <v>1</v>
      </c>
      <c r="I226" s="89" t="str">
        <f aca="false">IFERROR(__xludf.dummyfunction("REGEXEXTRACT(ADDRESS(ROW(), 19+$H226), ""[A-Z]+"")"),"T")</f>
        <v>T</v>
      </c>
      <c r="J226" s="89" t="str">
        <f aca="false">IFERROR(__xludf.dummyfunction("REGEXEXTRACT(ADDRESS(ROW(), 25+$H226), ""[A-Z]+"")"),"Z")</f>
        <v>Z</v>
      </c>
      <c r="K226" s="89" t="str">
        <f aca="false">IFERROR(__xludf.dummyfunction("REGEXEXTRACT(ADDRESS(ROW(), 27+$H226), ""[A-Z]+"")"),"AB")</f>
        <v>AB</v>
      </c>
      <c r="L226" s="89" t="str">
        <f aca="false">IFERROR(__xludf.dummyfunction("REGEXEXTRACT(ADDRESS(ROW(), 28+$H226), ""[A-Z]+"")"),"AC")</f>
        <v>AC</v>
      </c>
      <c r="M226" s="89" t="str">
        <f aca="false">IFERROR(__xludf.dummyfunction("REGEXEXTRACT(ADDRESS(ROW(), 34+$H226), ""[A-Z]+"")"),"AI")</f>
        <v>AI</v>
      </c>
      <c r="N226" s="89" t="str">
        <f aca="false">IFERROR(__xludf.dummyfunction("REGEXEXTRACT(ADDRESS(ROW(), 37+$H226), ""[A-Z]+"")"),"AL")</f>
        <v>AL</v>
      </c>
      <c r="O226" s="89" t="str">
        <f aca="false">IFERROR(__xludf.dummyfunction("REGEXEXTRACT(ADDRESS(ROW(), 38+$H226), ""[A-Z]+"")"),"AM")</f>
        <v>AM</v>
      </c>
      <c r="P226" s="89" t="str">
        <f aca="false">IFERROR(__xludf.dummyfunction("REGEXEXTRACT(ADDRESS(ROW(), 39+$H226), ""[A-Z]+"")"),"AN")</f>
        <v>AN</v>
      </c>
      <c r="Q226" s="89" t="str">
        <f aca="false">IFERROR(__xludf.dummyfunction("REGEXEXTRACT(ADDRESS(ROW(), 40+$H226), ""[A-Z]+"")"),"AO")</f>
        <v>AO</v>
      </c>
      <c r="R226" s="89" t="n">
        <f aca="false">IFERROR(__xludf.dummyfunction("IFERROR(QUERY(INDIRECT(""'""&amp;$F226&amp;""'!C3:""&amp;Q226&amp;""""), ""SELECT ""&amp;I226&amp;"", ""&amp;J226&amp;"", ""&amp;K226&amp;"", ""&amp;L226&amp;"", ""&amp;M226&amp;"", ""&amp;N226&amp;"", ""&amp;O226&amp;"", ""&amp;P226&amp;"" WHERE '""&amp;B226&amp;""' CONTAINS D"", 0), """")"),18)</f>
        <v>18</v>
      </c>
      <c r="S226" s="89" t="n">
        <f aca="false">IFERROR(__xludf.dummyfunction("""COMPUTED_VALUE"""),17)</f>
        <v>17</v>
      </c>
      <c r="T226" s="89"/>
      <c r="U226" s="89"/>
      <c r="V226" s="89" t="n">
        <f aca="false">IFERROR(__xludf.dummyfunction("""COMPUTED_VALUE"""),6)</f>
        <v>6</v>
      </c>
      <c r="W226" s="89"/>
      <c r="X226" s="89" t="n">
        <f aca="false">IFERROR(__xludf.dummyfunction("""COMPUTED_VALUE"""),24)</f>
        <v>24</v>
      </c>
      <c r="Y226" s="89" t="n">
        <f aca="false">IFERROR(__xludf.dummyfunction("""COMPUTED_VALUE"""),65)</f>
        <v>65</v>
      </c>
    </row>
    <row r="227" customFormat="false" ht="17.9" hidden="false" customHeight="false" outlineLevel="0" collapsed="false">
      <c r="A227" s="85" t="n">
        <v>226</v>
      </c>
      <c r="B227" s="85" t="n">
        <v>405271</v>
      </c>
      <c r="C227" s="86" t="s">
        <v>327</v>
      </c>
      <c r="D227" s="87" t="s">
        <v>151</v>
      </c>
      <c r="E227" s="88" t="str">
        <f aca="false">D227</f>
        <v>P3122</v>
      </c>
      <c r="F227" s="88" t="str">
        <f aca="false">REPLACE(E227, 1, 3, "")</f>
        <v>22</v>
      </c>
      <c r="G227" s="89" t="str">
        <f aca="true">IFERROR(VLOOKUP(B227,INDIRECT("'"&amp;$F227&amp;"'!D3:D"),1,FALSE()), "Not found")</f>
        <v>Not found</v>
      </c>
      <c r="H227" s="89" t="n">
        <f aca="true">INDIRECT("'"&amp;$F227&amp;"'!D1")</f>
        <v>0</v>
      </c>
      <c r="I227" s="89" t="str">
        <f aca="false">IFERROR(__xludf.dummyfunction("REGEXEXTRACT(ADDRESS(ROW(), 19+$H227), ""[A-Z]+"")"),"S")</f>
        <v>S</v>
      </c>
      <c r="J227" s="89" t="str">
        <f aca="false">IFERROR(__xludf.dummyfunction("REGEXEXTRACT(ADDRESS(ROW(), 25+$H227), ""[A-Z]+"")"),"Y")</f>
        <v>Y</v>
      </c>
      <c r="K227" s="89" t="str">
        <f aca="false">IFERROR(__xludf.dummyfunction("REGEXEXTRACT(ADDRESS(ROW(), 27+$H227), ""[A-Z]+"")"),"AA")</f>
        <v>AA</v>
      </c>
      <c r="L227" s="89" t="str">
        <f aca="false">IFERROR(__xludf.dummyfunction("REGEXEXTRACT(ADDRESS(ROW(), 28+$H227), ""[A-Z]+"")"),"AB")</f>
        <v>AB</v>
      </c>
      <c r="M227" s="89" t="str">
        <f aca="false">IFERROR(__xludf.dummyfunction("REGEXEXTRACT(ADDRESS(ROW(), 34+$H227), ""[A-Z]+"")"),"AH")</f>
        <v>AH</v>
      </c>
      <c r="N227" s="89" t="str">
        <f aca="false">IFERROR(__xludf.dummyfunction("REGEXEXTRACT(ADDRESS(ROW(), 37+$H227), ""[A-Z]+"")"),"AK")</f>
        <v>AK</v>
      </c>
      <c r="O227" s="89" t="str">
        <f aca="false">IFERROR(__xludf.dummyfunction("REGEXEXTRACT(ADDRESS(ROW(), 38+$H227), ""[A-Z]+"")"),"AL")</f>
        <v>AL</v>
      </c>
      <c r="P227" s="89" t="str">
        <f aca="false">IFERROR(__xludf.dummyfunction("REGEXEXTRACT(ADDRESS(ROW(), 39+$H227), ""[A-Z]+"")"),"AM")</f>
        <v>AM</v>
      </c>
      <c r="Q227" s="89" t="str">
        <f aca="false">IFERROR(__xludf.dummyfunction("REGEXEXTRACT(ADDRESS(ROW(), 40+$H227), ""[A-Z]+"")"),"AN")</f>
        <v>AN</v>
      </c>
      <c r="R227" s="89" t="n">
        <f aca="false">IFERROR(__xludf.dummyfunction("IFERROR(QUERY(INDIRECT(""'""&amp;$F227&amp;""'!C3:""&amp;Q227&amp;""""), ""SELECT ""&amp;I227&amp;"", ""&amp;J227&amp;"", ""&amp;K227&amp;"", ""&amp;L227&amp;"", ""&amp;M227&amp;"", ""&amp;N227&amp;"", ""&amp;O227&amp;"", ""&amp;P227&amp;"" WHERE '""&amp;B227&amp;""' CONTAINS D"", 0), """")"),20)</f>
        <v>20</v>
      </c>
      <c r="S227" s="89" t="n">
        <f aca="false">IFERROR(__xludf.dummyfunction("""COMPUTED_VALUE"""),20)</f>
        <v>20</v>
      </c>
      <c r="T227" s="89"/>
      <c r="U227" s="89"/>
      <c r="V227" s="89" t="n">
        <f aca="false">IFERROR(__xludf.dummyfunction("""COMPUTED_VALUE"""),7)</f>
        <v>7</v>
      </c>
      <c r="W227" s="89"/>
      <c r="X227" s="89" t="n">
        <f aca="false">IFERROR(__xludf.dummyfunction("""COMPUTED_VALUE"""),40)</f>
        <v>40</v>
      </c>
      <c r="Y227" s="89" t="n">
        <f aca="false">IFERROR(__xludf.dummyfunction("""COMPUTED_VALUE"""),87)</f>
        <v>87</v>
      </c>
    </row>
    <row r="228" customFormat="false" ht="17.9" hidden="false" customHeight="false" outlineLevel="0" collapsed="false">
      <c r="A228" s="85" t="n">
        <v>227</v>
      </c>
      <c r="B228" s="85" t="n">
        <v>466866</v>
      </c>
      <c r="C228" s="86" t="s">
        <v>328</v>
      </c>
      <c r="D228" s="87" t="s">
        <v>119</v>
      </c>
      <c r="E228" s="88" t="str">
        <f aca="false">D228</f>
        <v>P3121</v>
      </c>
      <c r="F228" s="88" t="str">
        <f aca="false">REPLACE(E228, 1, 3, "")</f>
        <v>21</v>
      </c>
      <c r="G228" s="89" t="str">
        <f aca="true">IFERROR(VLOOKUP(B228,INDIRECT("'"&amp;$F228&amp;"'!D3:D"),1,FALSE()), "Not found")</f>
        <v>Not found</v>
      </c>
      <c r="H228" s="89" t="n">
        <f aca="true">INDIRECT("'"&amp;$F228&amp;"'!D1")</f>
        <v>5</v>
      </c>
      <c r="I228" s="89" t="str">
        <f aca="false">IFERROR(__xludf.dummyfunction("REGEXEXTRACT(ADDRESS(ROW(), 19+$H228), ""[A-Z]+"")"),"X")</f>
        <v>X</v>
      </c>
      <c r="J228" s="89" t="str">
        <f aca="false">IFERROR(__xludf.dummyfunction("REGEXEXTRACT(ADDRESS(ROW(), 25+$H228), ""[A-Z]+"")"),"AD")</f>
        <v>AD</v>
      </c>
      <c r="K228" s="89" t="str">
        <f aca="false">IFERROR(__xludf.dummyfunction("REGEXEXTRACT(ADDRESS(ROW(), 27+$H228), ""[A-Z]+"")"),"AF")</f>
        <v>AF</v>
      </c>
      <c r="L228" s="89" t="str">
        <f aca="false">IFERROR(__xludf.dummyfunction("REGEXEXTRACT(ADDRESS(ROW(), 28+$H228), ""[A-Z]+"")"),"AG")</f>
        <v>AG</v>
      </c>
      <c r="M228" s="89" t="str">
        <f aca="false">IFERROR(__xludf.dummyfunction("REGEXEXTRACT(ADDRESS(ROW(), 34+$H228), ""[A-Z]+"")"),"AM")</f>
        <v>AM</v>
      </c>
      <c r="N228" s="89" t="str">
        <f aca="false">IFERROR(__xludf.dummyfunction("REGEXEXTRACT(ADDRESS(ROW(), 37+$H228), ""[A-Z]+"")"),"AP")</f>
        <v>AP</v>
      </c>
      <c r="O228" s="89" t="str">
        <f aca="false">IFERROR(__xludf.dummyfunction("REGEXEXTRACT(ADDRESS(ROW(), 38+$H228), ""[A-Z]+"")"),"AQ")</f>
        <v>AQ</v>
      </c>
      <c r="P228" s="89" t="str">
        <f aca="false">IFERROR(__xludf.dummyfunction("REGEXEXTRACT(ADDRESS(ROW(), 39+$H228), ""[A-Z]+"")"),"AR")</f>
        <v>AR</v>
      </c>
      <c r="Q228" s="89" t="str">
        <f aca="false">IFERROR(__xludf.dummyfunction("REGEXEXTRACT(ADDRESS(ROW(), 40+$H228), ""[A-Z]+"")"),"AS")</f>
        <v>AS</v>
      </c>
      <c r="R228" s="89" t="n">
        <f aca="false">IFERROR(__xludf.dummyfunction("IFERROR(QUERY(INDIRECT(""'""&amp;$F228&amp;""'!C3:""&amp;Q228&amp;""""), ""SELECT ""&amp;I228&amp;"", ""&amp;J228&amp;"", ""&amp;K228&amp;"", ""&amp;L228&amp;"", ""&amp;M228&amp;"", ""&amp;N228&amp;"", ""&amp;O228&amp;"", ""&amp;P228&amp;"" WHERE '""&amp;B228&amp;""' CONTAINS D"", 0), """")"),18)</f>
        <v>18</v>
      </c>
      <c r="S228" s="89" t="n">
        <f aca="false">IFERROR(__xludf.dummyfunction("""COMPUTED_VALUE"""),15)</f>
        <v>15</v>
      </c>
      <c r="T228" s="89"/>
      <c r="U228" s="89"/>
      <c r="V228" s="89" t="n">
        <f aca="false">IFERROR(__xludf.dummyfunction("""COMPUTED_VALUE"""),6)</f>
        <v>6</v>
      </c>
      <c r="W228" s="89"/>
      <c r="X228" s="89" t="n">
        <f aca="false">IFERROR(__xludf.dummyfunction("""COMPUTED_VALUE"""),25)</f>
        <v>25</v>
      </c>
      <c r="Y228" s="89" t="n">
        <f aca="false">IFERROR(__xludf.dummyfunction("""COMPUTED_VALUE"""),64)</f>
        <v>64</v>
      </c>
    </row>
    <row r="229" customFormat="false" ht="17.9" hidden="false" customHeight="false" outlineLevel="0" collapsed="false">
      <c r="A229" s="85" t="n">
        <v>228</v>
      </c>
      <c r="B229" s="85" t="n">
        <v>466870</v>
      </c>
      <c r="C229" s="86" t="s">
        <v>329</v>
      </c>
      <c r="D229" s="87" t="s">
        <v>146</v>
      </c>
      <c r="E229" s="88" t="str">
        <f aca="false">D229</f>
        <v>P3113</v>
      </c>
      <c r="F229" s="88" t="str">
        <f aca="false">REPLACE(E229, 1, 3, "")</f>
        <v>13</v>
      </c>
      <c r="G229" s="89" t="str">
        <f aca="true">IFERROR(VLOOKUP(B229,INDIRECT("'"&amp;$F229&amp;"'!D3:D"),1,FALSE()), "Not found")</f>
        <v>Not found</v>
      </c>
      <c r="H229" s="89" t="n">
        <f aca="true">INDIRECT("'"&amp;$F229&amp;"'!D1")</f>
        <v>0</v>
      </c>
      <c r="I229" s="89" t="str">
        <f aca="false">IFERROR(__xludf.dummyfunction("REGEXEXTRACT(ADDRESS(ROW(), 19+$H229), ""[A-Z]+"")"),"S")</f>
        <v>S</v>
      </c>
      <c r="J229" s="89" t="str">
        <f aca="false">IFERROR(__xludf.dummyfunction("REGEXEXTRACT(ADDRESS(ROW(), 25+$H229), ""[A-Z]+"")"),"Y")</f>
        <v>Y</v>
      </c>
      <c r="K229" s="89" t="str">
        <f aca="false">IFERROR(__xludf.dummyfunction("REGEXEXTRACT(ADDRESS(ROW(), 27+$H229), ""[A-Z]+"")"),"AA")</f>
        <v>AA</v>
      </c>
      <c r="L229" s="89" t="str">
        <f aca="false">IFERROR(__xludf.dummyfunction("REGEXEXTRACT(ADDRESS(ROW(), 28+$H229), ""[A-Z]+"")"),"AB")</f>
        <v>AB</v>
      </c>
      <c r="M229" s="89" t="str">
        <f aca="false">IFERROR(__xludf.dummyfunction("REGEXEXTRACT(ADDRESS(ROW(), 34+$H229), ""[A-Z]+"")"),"AH")</f>
        <v>AH</v>
      </c>
      <c r="N229" s="89" t="str">
        <f aca="false">IFERROR(__xludf.dummyfunction("REGEXEXTRACT(ADDRESS(ROW(), 37+$H229), ""[A-Z]+"")"),"AK")</f>
        <v>AK</v>
      </c>
      <c r="O229" s="89" t="str">
        <f aca="false">IFERROR(__xludf.dummyfunction("REGEXEXTRACT(ADDRESS(ROW(), 38+$H229), ""[A-Z]+"")"),"AL")</f>
        <v>AL</v>
      </c>
      <c r="P229" s="89" t="str">
        <f aca="false">IFERROR(__xludf.dummyfunction("REGEXEXTRACT(ADDRESS(ROW(), 39+$H229), ""[A-Z]+"")"),"AM")</f>
        <v>AM</v>
      </c>
      <c r="Q229" s="89" t="str">
        <f aca="false">IFERROR(__xludf.dummyfunction("REGEXEXTRACT(ADDRESS(ROW(), 40+$H229), ""[A-Z]+"")"),"AN")</f>
        <v>AN</v>
      </c>
      <c r="R229" s="89" t="n">
        <f aca="false">IFERROR(__xludf.dummyfunction("IFERROR(QUERY(INDIRECT(""'""&amp;$F229&amp;""'!C3:""&amp;Q229&amp;""""), ""SELECT ""&amp;I229&amp;"", ""&amp;J229&amp;"", ""&amp;K229&amp;"", ""&amp;L229&amp;"", ""&amp;M229&amp;"", ""&amp;N229&amp;"", ""&amp;O229&amp;"", ""&amp;P229&amp;"" WHERE '""&amp;B229&amp;""' CONTAINS D"", 0), """")"),12)</f>
        <v>12</v>
      </c>
      <c r="S229" s="89" t="n">
        <f aca="false">IFERROR(__xludf.dummyfunction("""COMPUTED_VALUE"""),15)</f>
        <v>15</v>
      </c>
      <c r="T229" s="89"/>
      <c r="U229" s="89"/>
      <c r="V229" s="89" t="n">
        <f aca="false">IFERROR(__xludf.dummyfunction("""COMPUTED_VALUE"""),6)</f>
        <v>6</v>
      </c>
      <c r="W229" s="89"/>
      <c r="X229" s="89" t="n">
        <f aca="false">IFERROR(__xludf.dummyfunction("""COMPUTED_VALUE"""),30)</f>
        <v>30</v>
      </c>
      <c r="Y229" s="89" t="n">
        <f aca="false">IFERROR(__xludf.dummyfunction("""COMPUTED_VALUE"""),63)</f>
        <v>63</v>
      </c>
    </row>
    <row r="230" customFormat="false" ht="17.9" hidden="false" customHeight="false" outlineLevel="0" collapsed="false">
      <c r="A230" s="85" t="n">
        <v>229</v>
      </c>
      <c r="B230" s="85" t="n">
        <v>466873</v>
      </c>
      <c r="C230" s="86" t="s">
        <v>330</v>
      </c>
      <c r="D230" s="87" t="s">
        <v>93</v>
      </c>
      <c r="E230" s="88" t="str">
        <f aca="false">D230</f>
        <v>P3114</v>
      </c>
      <c r="F230" s="88" t="str">
        <f aca="false">REPLACE(E230, 1, 3, "")</f>
        <v>14</v>
      </c>
      <c r="G230" s="89" t="str">
        <f aca="true">IFERROR(VLOOKUP(B230,INDIRECT("'"&amp;$F230&amp;"'!D3:D"),1,FALSE()), "Not found")</f>
        <v>Not found</v>
      </c>
      <c r="H230" s="89" t="n">
        <f aca="true">INDIRECT("'"&amp;$F230&amp;"'!D1")</f>
        <v>0</v>
      </c>
      <c r="I230" s="89" t="str">
        <f aca="false">IFERROR(__xludf.dummyfunction("REGEXEXTRACT(ADDRESS(ROW(), 19+$H230), ""[A-Z]+"")"),"S")</f>
        <v>S</v>
      </c>
      <c r="J230" s="89" t="str">
        <f aca="false">IFERROR(__xludf.dummyfunction("REGEXEXTRACT(ADDRESS(ROW(), 25+$H230), ""[A-Z]+"")"),"Y")</f>
        <v>Y</v>
      </c>
      <c r="K230" s="89" t="str">
        <f aca="false">IFERROR(__xludf.dummyfunction("REGEXEXTRACT(ADDRESS(ROW(), 27+$H230), ""[A-Z]+"")"),"AA")</f>
        <v>AA</v>
      </c>
      <c r="L230" s="89" t="str">
        <f aca="false">IFERROR(__xludf.dummyfunction("REGEXEXTRACT(ADDRESS(ROW(), 28+$H230), ""[A-Z]+"")"),"AB")</f>
        <v>AB</v>
      </c>
      <c r="M230" s="89" t="str">
        <f aca="false">IFERROR(__xludf.dummyfunction("REGEXEXTRACT(ADDRESS(ROW(), 34+$H230), ""[A-Z]+"")"),"AH")</f>
        <v>AH</v>
      </c>
      <c r="N230" s="89" t="str">
        <f aca="false">IFERROR(__xludf.dummyfunction("REGEXEXTRACT(ADDRESS(ROW(), 37+$H230), ""[A-Z]+"")"),"AK")</f>
        <v>AK</v>
      </c>
      <c r="O230" s="89" t="str">
        <f aca="false">IFERROR(__xludf.dummyfunction("REGEXEXTRACT(ADDRESS(ROW(), 38+$H230), ""[A-Z]+"")"),"AL")</f>
        <v>AL</v>
      </c>
      <c r="P230" s="89" t="str">
        <f aca="false">IFERROR(__xludf.dummyfunction("REGEXEXTRACT(ADDRESS(ROW(), 39+$H230), ""[A-Z]+"")"),"AM")</f>
        <v>AM</v>
      </c>
      <c r="Q230" s="89" t="str">
        <f aca="false">IFERROR(__xludf.dummyfunction("REGEXEXTRACT(ADDRESS(ROW(), 40+$H230), ""[A-Z]+"")"),"AN")</f>
        <v>AN</v>
      </c>
      <c r="R230" s="89" t="n">
        <f aca="false">IFERROR(__xludf.dummyfunction("IFERROR(QUERY(INDIRECT(""'""&amp;$F230&amp;""'!C3:""&amp;Q230&amp;""""), ""SELECT ""&amp;I230&amp;"", ""&amp;J230&amp;"", ""&amp;K230&amp;"", ""&amp;L230&amp;"", ""&amp;M230&amp;"", ""&amp;N230&amp;"", ""&amp;O230&amp;"", ""&amp;P230&amp;"" WHERE '""&amp;B230&amp;""' CONTAINS D"", 0), """")"),20)</f>
        <v>20</v>
      </c>
      <c r="S230" s="89" t="n">
        <f aca="false">IFERROR(__xludf.dummyfunction("""COMPUTED_VALUE"""),20)</f>
        <v>20</v>
      </c>
      <c r="T230" s="89"/>
      <c r="U230" s="89"/>
      <c r="V230" s="89" t="n">
        <f aca="false">IFERROR(__xludf.dummyfunction("""COMPUTED_VALUE"""),6)</f>
        <v>6</v>
      </c>
      <c r="W230" s="89"/>
      <c r="X230" s="89" t="n">
        <f aca="false">IFERROR(__xludf.dummyfunction("""COMPUTED_VALUE"""),40)</f>
        <v>40</v>
      </c>
      <c r="Y230" s="89" t="n">
        <f aca="false">IFERROR(__xludf.dummyfunction("""COMPUTED_VALUE"""),86)</f>
        <v>86</v>
      </c>
    </row>
    <row r="231" customFormat="false" ht="17.9" hidden="false" customHeight="false" outlineLevel="0" collapsed="false">
      <c r="A231" s="85" t="n">
        <v>230</v>
      </c>
      <c r="B231" s="85" t="n">
        <v>472302</v>
      </c>
      <c r="C231" s="86" t="s">
        <v>331</v>
      </c>
      <c r="D231" s="87" t="s">
        <v>83</v>
      </c>
      <c r="E231" s="88" t="str">
        <f aca="false">D231</f>
        <v>P3109</v>
      </c>
      <c r="F231" s="88" t="str">
        <f aca="false">REPLACE(E231, 1, 3, "")</f>
        <v>09</v>
      </c>
      <c r="G231" s="89" t="str">
        <f aca="true">IFERROR(VLOOKUP(B231,INDIRECT("'"&amp;$F231&amp;"'!D3:D"),1,FALSE()), "Not found")</f>
        <v>Not found</v>
      </c>
      <c r="H231" s="89" t="n">
        <f aca="true">INDIRECT("'"&amp;$F231&amp;"'!D1")</f>
        <v>0</v>
      </c>
      <c r="I231" s="89" t="str">
        <f aca="false">IFERROR(__xludf.dummyfunction("REGEXEXTRACT(ADDRESS(ROW(), 19+$H231), ""[A-Z]+"")"),"S")</f>
        <v>S</v>
      </c>
      <c r="J231" s="89" t="str">
        <f aca="false">IFERROR(__xludf.dummyfunction("REGEXEXTRACT(ADDRESS(ROW(), 25+$H231), ""[A-Z]+"")"),"Y")</f>
        <v>Y</v>
      </c>
      <c r="K231" s="89" t="str">
        <f aca="false">IFERROR(__xludf.dummyfunction("REGEXEXTRACT(ADDRESS(ROW(), 27+$H231), ""[A-Z]+"")"),"AA")</f>
        <v>AA</v>
      </c>
      <c r="L231" s="89" t="str">
        <f aca="false">IFERROR(__xludf.dummyfunction("REGEXEXTRACT(ADDRESS(ROW(), 28+$H231), ""[A-Z]+"")"),"AB")</f>
        <v>AB</v>
      </c>
      <c r="M231" s="89" t="str">
        <f aca="false">IFERROR(__xludf.dummyfunction("REGEXEXTRACT(ADDRESS(ROW(), 34+$H231), ""[A-Z]+"")"),"AH")</f>
        <v>AH</v>
      </c>
      <c r="N231" s="89" t="str">
        <f aca="false">IFERROR(__xludf.dummyfunction("REGEXEXTRACT(ADDRESS(ROW(), 37+$H231), ""[A-Z]+"")"),"AK")</f>
        <v>AK</v>
      </c>
      <c r="O231" s="89" t="str">
        <f aca="false">IFERROR(__xludf.dummyfunction("REGEXEXTRACT(ADDRESS(ROW(), 38+$H231), ""[A-Z]+"")"),"AL")</f>
        <v>AL</v>
      </c>
      <c r="P231" s="89" t="str">
        <f aca="false">IFERROR(__xludf.dummyfunction("REGEXEXTRACT(ADDRESS(ROW(), 39+$H231), ""[A-Z]+"")"),"AM")</f>
        <v>AM</v>
      </c>
      <c r="Q231" s="89" t="str">
        <f aca="false">IFERROR(__xludf.dummyfunction("REGEXEXTRACT(ADDRESS(ROW(), 40+$H231), ""[A-Z]+"")"),"AN")</f>
        <v>AN</v>
      </c>
      <c r="R231" s="89" t="n">
        <f aca="false">IFERROR(__xludf.dummyfunction("IFERROR(QUERY(INDIRECT(""'""&amp;$F231&amp;""'!C3:""&amp;Q231&amp;""""), ""SELECT ""&amp;I231&amp;"", ""&amp;J231&amp;"", ""&amp;K231&amp;"", ""&amp;L231&amp;"", ""&amp;M231&amp;"", ""&amp;N231&amp;"", ""&amp;O231&amp;"", ""&amp;P231&amp;"" WHERE '""&amp;B231&amp;""' CONTAINS D"", 0), """")"),16)</f>
        <v>16</v>
      </c>
      <c r="S231" s="89" t="n">
        <f aca="false">IFERROR(__xludf.dummyfunction("""COMPUTED_VALUE"""),14)</f>
        <v>14</v>
      </c>
      <c r="T231" s="89"/>
      <c r="U231" s="89"/>
      <c r="V231" s="89" t="n">
        <f aca="false">IFERROR(__xludf.dummyfunction("""COMPUTED_VALUE"""),6.03)</f>
        <v>6.03</v>
      </c>
      <c r="W231" s="89"/>
      <c r="X231" s="89" t="n">
        <f aca="false">IFERROR(__xludf.dummyfunction("""COMPUTED_VALUE"""),24)</f>
        <v>24</v>
      </c>
      <c r="Y231" s="89" t="n">
        <f aca="false">IFERROR(__xludf.dummyfunction("""COMPUTED_VALUE"""),60.03)</f>
        <v>60.03</v>
      </c>
    </row>
    <row r="232" customFormat="false" ht="17.9" hidden="false" customHeight="false" outlineLevel="0" collapsed="false">
      <c r="A232" s="85" t="n">
        <v>231</v>
      </c>
      <c r="B232" s="85" t="n">
        <v>466886</v>
      </c>
      <c r="C232" s="86" t="s">
        <v>332</v>
      </c>
      <c r="D232" s="87" t="s">
        <v>157</v>
      </c>
      <c r="E232" s="88" t="str">
        <f aca="false">D232</f>
        <v>P3123</v>
      </c>
      <c r="F232" s="88" t="str">
        <f aca="false">REPLACE(E232, 1, 3, "")</f>
        <v>23</v>
      </c>
      <c r="G232" s="89" t="str">
        <f aca="true">IFERROR(VLOOKUP(B232,INDIRECT("'"&amp;$F232&amp;"'!D3:D"),1,FALSE()), "Not found")</f>
        <v>Not found</v>
      </c>
      <c r="H232" s="89" t="n">
        <f aca="true">INDIRECT("'"&amp;$F232&amp;"'!D1")</f>
        <v>1</v>
      </c>
      <c r="I232" s="89" t="str">
        <f aca="false">IFERROR(__xludf.dummyfunction("REGEXEXTRACT(ADDRESS(ROW(), 19+$H232), ""[A-Z]+"")"),"T")</f>
        <v>T</v>
      </c>
      <c r="J232" s="89" t="str">
        <f aca="false">IFERROR(__xludf.dummyfunction("REGEXEXTRACT(ADDRESS(ROW(), 25+$H232), ""[A-Z]+"")"),"Z")</f>
        <v>Z</v>
      </c>
      <c r="K232" s="89" t="str">
        <f aca="false">IFERROR(__xludf.dummyfunction("REGEXEXTRACT(ADDRESS(ROW(), 27+$H232), ""[A-Z]+"")"),"AB")</f>
        <v>AB</v>
      </c>
      <c r="L232" s="89" t="str">
        <f aca="false">IFERROR(__xludf.dummyfunction("REGEXEXTRACT(ADDRESS(ROW(), 28+$H232), ""[A-Z]+"")"),"AC")</f>
        <v>AC</v>
      </c>
      <c r="M232" s="89" t="str">
        <f aca="false">IFERROR(__xludf.dummyfunction("REGEXEXTRACT(ADDRESS(ROW(), 34+$H232), ""[A-Z]+"")"),"AI")</f>
        <v>AI</v>
      </c>
      <c r="N232" s="89" t="str">
        <f aca="false">IFERROR(__xludf.dummyfunction("REGEXEXTRACT(ADDRESS(ROW(), 37+$H232), ""[A-Z]+"")"),"AL")</f>
        <v>AL</v>
      </c>
      <c r="O232" s="89" t="str">
        <f aca="false">IFERROR(__xludf.dummyfunction("REGEXEXTRACT(ADDRESS(ROW(), 38+$H232), ""[A-Z]+"")"),"AM")</f>
        <v>AM</v>
      </c>
      <c r="P232" s="89" t="str">
        <f aca="false">IFERROR(__xludf.dummyfunction("REGEXEXTRACT(ADDRESS(ROW(), 39+$H232), ""[A-Z]+"")"),"AN")</f>
        <v>AN</v>
      </c>
      <c r="Q232" s="89" t="str">
        <f aca="false">IFERROR(__xludf.dummyfunction("REGEXEXTRACT(ADDRESS(ROW(), 40+$H232), ""[A-Z]+"")"),"AO")</f>
        <v>AO</v>
      </c>
      <c r="R232" s="89" t="n">
        <f aca="false">IFERROR(__xludf.dummyfunction("IFERROR(QUERY(INDIRECT(""'""&amp;$F232&amp;""'!C3:""&amp;Q232&amp;""""), ""SELECT ""&amp;I232&amp;"", ""&amp;J232&amp;"", ""&amp;K232&amp;"", ""&amp;L232&amp;"", ""&amp;M232&amp;"", ""&amp;N232&amp;"", ""&amp;O232&amp;"", ""&amp;P232&amp;"" WHERE '""&amp;B232&amp;""' CONTAINS D"", 0), """")"),0.01)</f>
        <v>0.01</v>
      </c>
      <c r="S232" s="89"/>
      <c r="T232" s="89"/>
      <c r="U232" s="89"/>
      <c r="V232" s="89" t="n">
        <f aca="false">IFERROR(__xludf.dummyfunction("""COMPUTED_VALUE"""),0.1)</f>
        <v>0.1</v>
      </c>
      <c r="W232" s="89"/>
      <c r="X232" s="89"/>
      <c r="Y232" s="89" t="n">
        <f aca="false">IFERROR(__xludf.dummyfunction("""COMPUTED_VALUE"""),0.11)</f>
        <v>0.11</v>
      </c>
    </row>
    <row r="233" customFormat="false" ht="17.9" hidden="false" customHeight="false" outlineLevel="0" collapsed="false">
      <c r="A233" s="85" t="n">
        <v>232</v>
      </c>
      <c r="B233" s="85" t="n">
        <v>466890</v>
      </c>
      <c r="C233" s="86" t="s">
        <v>333</v>
      </c>
      <c r="D233" s="87" t="s">
        <v>125</v>
      </c>
      <c r="E233" s="88" t="str">
        <f aca="false">D233</f>
        <v>P3115</v>
      </c>
      <c r="F233" s="88" t="str">
        <f aca="false">REPLACE(E233, 1, 3, "")</f>
        <v>15</v>
      </c>
      <c r="G233" s="89" t="str">
        <f aca="true">IFERROR(VLOOKUP(B233,INDIRECT("'"&amp;$F233&amp;"'!D3:D"),1,FALSE()), "Not found")</f>
        <v>Not found</v>
      </c>
      <c r="H233" s="89" t="n">
        <f aca="true">INDIRECT("'"&amp;$F233&amp;"'!D1")</f>
        <v>1</v>
      </c>
      <c r="I233" s="89" t="str">
        <f aca="false">IFERROR(__xludf.dummyfunction("REGEXEXTRACT(ADDRESS(ROW(), 19+$H233), ""[A-Z]+"")"),"T")</f>
        <v>T</v>
      </c>
      <c r="J233" s="89" t="str">
        <f aca="false">IFERROR(__xludf.dummyfunction("REGEXEXTRACT(ADDRESS(ROW(), 25+$H233), ""[A-Z]+"")"),"Z")</f>
        <v>Z</v>
      </c>
      <c r="K233" s="89" t="str">
        <f aca="false">IFERROR(__xludf.dummyfunction("REGEXEXTRACT(ADDRESS(ROW(), 27+$H233), ""[A-Z]+"")"),"AB")</f>
        <v>AB</v>
      </c>
      <c r="L233" s="89" t="str">
        <f aca="false">IFERROR(__xludf.dummyfunction("REGEXEXTRACT(ADDRESS(ROW(), 28+$H233), ""[A-Z]+"")"),"AC")</f>
        <v>AC</v>
      </c>
      <c r="M233" s="89" t="str">
        <f aca="false">IFERROR(__xludf.dummyfunction("REGEXEXTRACT(ADDRESS(ROW(), 34+$H233), ""[A-Z]+"")"),"AI")</f>
        <v>AI</v>
      </c>
      <c r="N233" s="89" t="str">
        <f aca="false">IFERROR(__xludf.dummyfunction("REGEXEXTRACT(ADDRESS(ROW(), 37+$H233), ""[A-Z]+"")"),"AL")</f>
        <v>AL</v>
      </c>
      <c r="O233" s="89" t="str">
        <f aca="false">IFERROR(__xludf.dummyfunction("REGEXEXTRACT(ADDRESS(ROW(), 38+$H233), ""[A-Z]+"")"),"AM")</f>
        <v>AM</v>
      </c>
      <c r="P233" s="89" t="str">
        <f aca="false">IFERROR(__xludf.dummyfunction("REGEXEXTRACT(ADDRESS(ROW(), 39+$H233), ""[A-Z]+"")"),"AN")</f>
        <v>AN</v>
      </c>
      <c r="Q233" s="89" t="str">
        <f aca="false">IFERROR(__xludf.dummyfunction("REGEXEXTRACT(ADDRESS(ROW(), 40+$H233), ""[A-Z]+"")"),"AO")</f>
        <v>AO</v>
      </c>
      <c r="R233" s="89" t="n">
        <f aca="false">IFERROR(__xludf.dummyfunction("IFERROR(QUERY(INDIRECT(""'""&amp;$F233&amp;""'!C3:""&amp;Q233&amp;""""), ""SELECT ""&amp;I233&amp;"", ""&amp;J233&amp;"", ""&amp;K233&amp;"", ""&amp;L233&amp;"", ""&amp;M233&amp;"", ""&amp;N233&amp;"", ""&amp;O233&amp;"", ""&amp;P233&amp;"" WHERE '""&amp;B233&amp;""' CONTAINS D"", 0), """")"),13)</f>
        <v>13</v>
      </c>
      <c r="S233" s="89" t="n">
        <f aca="false">IFERROR(__xludf.dummyfunction("""COMPUTED_VALUE"""),12)</f>
        <v>12</v>
      </c>
      <c r="T233" s="89"/>
      <c r="U233" s="89"/>
      <c r="V233" s="89" t="n">
        <f aca="false">IFERROR(__xludf.dummyfunction("""COMPUTED_VALUE"""),6)</f>
        <v>6</v>
      </c>
      <c r="W233" s="89"/>
      <c r="X233" s="89" t="n">
        <f aca="false">IFERROR(__xludf.dummyfunction("""COMPUTED_VALUE"""),32)</f>
        <v>32</v>
      </c>
      <c r="Y233" s="89" t="n">
        <f aca="false">IFERROR(__xludf.dummyfunction("""COMPUTED_VALUE"""),63)</f>
        <v>63</v>
      </c>
    </row>
    <row r="234" customFormat="false" ht="17.9" hidden="false" customHeight="false" outlineLevel="0" collapsed="false">
      <c r="A234" s="85" t="n">
        <v>233</v>
      </c>
      <c r="B234" s="85" t="n">
        <v>466903</v>
      </c>
      <c r="C234" s="86" t="s">
        <v>334</v>
      </c>
      <c r="D234" s="87" t="s">
        <v>127</v>
      </c>
      <c r="E234" s="88" t="str">
        <f aca="false">D234</f>
        <v>P3131</v>
      </c>
      <c r="F234" s="88" t="str">
        <f aca="false">REPLACE(E234, 1, 3, "")</f>
        <v>31</v>
      </c>
      <c r="G234" s="89" t="str">
        <f aca="true">IFERROR(VLOOKUP(B234,INDIRECT("'"&amp;$F234&amp;"'!D3:D"),1,FALSE()), "Not found")</f>
        <v>Not found</v>
      </c>
      <c r="H234" s="89" t="n">
        <f aca="true">INDIRECT("'"&amp;$F234&amp;"'!D1")</f>
        <v>0</v>
      </c>
      <c r="I234" s="89" t="str">
        <f aca="false">IFERROR(__xludf.dummyfunction("REGEXEXTRACT(ADDRESS(ROW(), 19+$H234), ""[A-Z]+"")"),"S")</f>
        <v>S</v>
      </c>
      <c r="J234" s="89" t="str">
        <f aca="false">IFERROR(__xludf.dummyfunction("REGEXEXTRACT(ADDRESS(ROW(), 25+$H234), ""[A-Z]+"")"),"Y")</f>
        <v>Y</v>
      </c>
      <c r="K234" s="89" t="str">
        <f aca="false">IFERROR(__xludf.dummyfunction("REGEXEXTRACT(ADDRESS(ROW(), 27+$H234), ""[A-Z]+"")"),"AA")</f>
        <v>AA</v>
      </c>
      <c r="L234" s="89" t="str">
        <f aca="false">IFERROR(__xludf.dummyfunction("REGEXEXTRACT(ADDRESS(ROW(), 28+$H234), ""[A-Z]+"")"),"AB")</f>
        <v>AB</v>
      </c>
      <c r="M234" s="89" t="str">
        <f aca="false">IFERROR(__xludf.dummyfunction("REGEXEXTRACT(ADDRESS(ROW(), 34+$H234), ""[A-Z]+"")"),"AH")</f>
        <v>AH</v>
      </c>
      <c r="N234" s="89" t="str">
        <f aca="false">IFERROR(__xludf.dummyfunction("REGEXEXTRACT(ADDRESS(ROW(), 37+$H234), ""[A-Z]+"")"),"AK")</f>
        <v>AK</v>
      </c>
      <c r="O234" s="89" t="str">
        <f aca="false">IFERROR(__xludf.dummyfunction("REGEXEXTRACT(ADDRESS(ROW(), 38+$H234), ""[A-Z]+"")"),"AL")</f>
        <v>AL</v>
      </c>
      <c r="P234" s="89" t="str">
        <f aca="false">IFERROR(__xludf.dummyfunction("REGEXEXTRACT(ADDRESS(ROW(), 39+$H234), ""[A-Z]+"")"),"AM")</f>
        <v>AM</v>
      </c>
      <c r="Q234" s="89" t="str">
        <f aca="false">IFERROR(__xludf.dummyfunction("REGEXEXTRACT(ADDRESS(ROW(), 40+$H234), ""[A-Z]+"")"),"AN")</f>
        <v>AN</v>
      </c>
      <c r="R234" s="89" t="n">
        <f aca="false">IFERROR(__xludf.dummyfunction("IFERROR(QUERY(INDIRECT(""'""&amp;$F234&amp;""'!C3:""&amp;Q234&amp;""""), ""SELECT ""&amp;I234&amp;"", ""&amp;J234&amp;"", ""&amp;K234&amp;"", ""&amp;L234&amp;"", ""&amp;M234&amp;"", ""&amp;N234&amp;"", ""&amp;O234&amp;"", ""&amp;P234&amp;"" WHERE '""&amp;B234&amp;""' CONTAINS D"", 0), """")"),19)</f>
        <v>19</v>
      </c>
      <c r="S234" s="89" t="n">
        <f aca="false">IFERROR(__xludf.dummyfunction("""COMPUTED_VALUE"""),15)</f>
        <v>15</v>
      </c>
      <c r="T234" s="89"/>
      <c r="U234" s="89"/>
      <c r="V234" s="89" t="n">
        <f aca="false">IFERROR(__xludf.dummyfunction("""COMPUTED_VALUE"""),6)</f>
        <v>6</v>
      </c>
      <c r="W234" s="89"/>
      <c r="X234" s="89" t="n">
        <f aca="false">IFERROR(__xludf.dummyfunction("""COMPUTED_VALUE"""),38)</f>
        <v>38</v>
      </c>
      <c r="Y234" s="89" t="n">
        <f aca="false">IFERROR(__xludf.dummyfunction("""COMPUTED_VALUE"""),78)</f>
        <v>78</v>
      </c>
    </row>
    <row r="235" customFormat="false" ht="17.9" hidden="false" customHeight="false" outlineLevel="0" collapsed="false">
      <c r="A235" s="85" t="n">
        <v>234</v>
      </c>
      <c r="B235" s="85" t="n">
        <v>466912</v>
      </c>
      <c r="C235" s="86" t="s">
        <v>335</v>
      </c>
      <c r="D235" s="87" t="s">
        <v>117</v>
      </c>
      <c r="E235" s="88" t="str">
        <f aca="false">D235</f>
        <v>P3116</v>
      </c>
      <c r="F235" s="88" t="str">
        <f aca="false">REPLACE(E235, 1, 3, "")</f>
        <v>16</v>
      </c>
      <c r="G235" s="89" t="str">
        <f aca="true">IFERROR(VLOOKUP(B235,INDIRECT("'"&amp;$F235&amp;"'!D3:D"),1,FALSE()), "Not found")</f>
        <v>Not found</v>
      </c>
      <c r="H235" s="89" t="n">
        <f aca="true">INDIRECT("'"&amp;$F235&amp;"'!D1")</f>
        <v>0</v>
      </c>
      <c r="I235" s="89" t="str">
        <f aca="false">IFERROR(__xludf.dummyfunction("REGEXEXTRACT(ADDRESS(ROW(), 19+$H235), ""[A-Z]+"")"),"S")</f>
        <v>S</v>
      </c>
      <c r="J235" s="89" t="str">
        <f aca="false">IFERROR(__xludf.dummyfunction("REGEXEXTRACT(ADDRESS(ROW(), 25+$H235), ""[A-Z]+"")"),"Y")</f>
        <v>Y</v>
      </c>
      <c r="K235" s="89" t="str">
        <f aca="false">IFERROR(__xludf.dummyfunction("REGEXEXTRACT(ADDRESS(ROW(), 27+$H235), ""[A-Z]+"")"),"AA")</f>
        <v>AA</v>
      </c>
      <c r="L235" s="89" t="str">
        <f aca="false">IFERROR(__xludf.dummyfunction("REGEXEXTRACT(ADDRESS(ROW(), 28+$H235), ""[A-Z]+"")"),"AB")</f>
        <v>AB</v>
      </c>
      <c r="M235" s="89" t="str">
        <f aca="false">IFERROR(__xludf.dummyfunction("REGEXEXTRACT(ADDRESS(ROW(), 34+$H235), ""[A-Z]+"")"),"AH")</f>
        <v>AH</v>
      </c>
      <c r="N235" s="89" t="str">
        <f aca="false">IFERROR(__xludf.dummyfunction("REGEXEXTRACT(ADDRESS(ROW(), 37+$H235), ""[A-Z]+"")"),"AK")</f>
        <v>AK</v>
      </c>
      <c r="O235" s="89" t="str">
        <f aca="false">IFERROR(__xludf.dummyfunction("REGEXEXTRACT(ADDRESS(ROW(), 38+$H235), ""[A-Z]+"")"),"AL")</f>
        <v>AL</v>
      </c>
      <c r="P235" s="89" t="str">
        <f aca="false">IFERROR(__xludf.dummyfunction("REGEXEXTRACT(ADDRESS(ROW(), 39+$H235), ""[A-Z]+"")"),"AM")</f>
        <v>AM</v>
      </c>
      <c r="Q235" s="89" t="str">
        <f aca="false">IFERROR(__xludf.dummyfunction("REGEXEXTRACT(ADDRESS(ROW(), 40+$H235), ""[A-Z]+"")"),"AN")</f>
        <v>AN</v>
      </c>
      <c r="R235" s="89" t="str">
        <f aca="false">IFERROR(__xludf.dummyfunction("IFERROR(QUERY(INDIRECT(""'""&amp;$F235&amp;""'!C3:""&amp;Q235&amp;""""), ""SELECT ""&amp;I235&amp;"", ""&amp;J235&amp;"", ""&amp;K235&amp;"", ""&amp;L235&amp;"", ""&amp;M235&amp;"", ""&amp;N235&amp;"", ""&amp;O235&amp;"", ""&amp;P235&amp;"" WHERE '""&amp;B235&amp;""' CONTAINS D"", 0), """")"),"")</f>
        <v/>
      </c>
      <c r="S235" s="89"/>
      <c r="T235" s="89"/>
      <c r="U235" s="89"/>
      <c r="V235" s="89" t="n">
        <f aca="false">IFERROR(__xludf.dummyfunction("""COMPUTED_VALUE"""),0)</f>
        <v>0</v>
      </c>
      <c r="W235" s="89"/>
      <c r="X235" s="89"/>
      <c r="Y235" s="89" t="n">
        <f aca="false">IFERROR(__xludf.dummyfunction("""COMPUTED_VALUE"""),0)</f>
        <v>0</v>
      </c>
    </row>
    <row r="236" customFormat="false" ht="17.9" hidden="false" customHeight="false" outlineLevel="0" collapsed="false">
      <c r="A236" s="85" t="n">
        <v>235</v>
      </c>
      <c r="B236" s="85" t="n">
        <v>466930</v>
      </c>
      <c r="C236" s="86" t="s">
        <v>336</v>
      </c>
      <c r="D236" s="87" t="s">
        <v>130</v>
      </c>
      <c r="E236" s="88" t="str">
        <f aca="false">D236</f>
        <v>P3117</v>
      </c>
      <c r="F236" s="88" t="str">
        <f aca="false">REPLACE(E236, 1, 3, "")</f>
        <v>17</v>
      </c>
      <c r="G236" s="89" t="str">
        <f aca="true">IFERROR(VLOOKUP(B236,INDIRECT("'"&amp;$F236&amp;"'!D3:D"),1,FALSE()), "Not found")</f>
        <v>Not found</v>
      </c>
      <c r="H236" s="89" t="n">
        <f aca="true">INDIRECT("'"&amp;$F236&amp;"'!D1")</f>
        <v>1</v>
      </c>
      <c r="I236" s="89" t="str">
        <f aca="false">IFERROR(__xludf.dummyfunction("REGEXEXTRACT(ADDRESS(ROW(), 19+$H236), ""[A-Z]+"")"),"T")</f>
        <v>T</v>
      </c>
      <c r="J236" s="89" t="str">
        <f aca="false">IFERROR(__xludf.dummyfunction("REGEXEXTRACT(ADDRESS(ROW(), 25+$H236), ""[A-Z]+"")"),"Z")</f>
        <v>Z</v>
      </c>
      <c r="K236" s="89" t="str">
        <f aca="false">IFERROR(__xludf.dummyfunction("REGEXEXTRACT(ADDRESS(ROW(), 27+$H236), ""[A-Z]+"")"),"AB")</f>
        <v>AB</v>
      </c>
      <c r="L236" s="89" t="str">
        <f aca="false">IFERROR(__xludf.dummyfunction("REGEXEXTRACT(ADDRESS(ROW(), 28+$H236), ""[A-Z]+"")"),"AC")</f>
        <v>AC</v>
      </c>
      <c r="M236" s="89" t="str">
        <f aca="false">IFERROR(__xludf.dummyfunction("REGEXEXTRACT(ADDRESS(ROW(), 34+$H236), ""[A-Z]+"")"),"AI")</f>
        <v>AI</v>
      </c>
      <c r="N236" s="89" t="str">
        <f aca="false">IFERROR(__xludf.dummyfunction("REGEXEXTRACT(ADDRESS(ROW(), 37+$H236), ""[A-Z]+"")"),"AL")</f>
        <v>AL</v>
      </c>
      <c r="O236" s="89" t="str">
        <f aca="false">IFERROR(__xludf.dummyfunction("REGEXEXTRACT(ADDRESS(ROW(), 38+$H236), ""[A-Z]+"")"),"AM")</f>
        <v>AM</v>
      </c>
      <c r="P236" s="89" t="str">
        <f aca="false">IFERROR(__xludf.dummyfunction("REGEXEXTRACT(ADDRESS(ROW(), 39+$H236), ""[A-Z]+"")"),"AN")</f>
        <v>AN</v>
      </c>
      <c r="Q236" s="89" t="str">
        <f aca="false">IFERROR(__xludf.dummyfunction("REGEXEXTRACT(ADDRESS(ROW(), 40+$H236), ""[A-Z]+"")"),"AO")</f>
        <v>AO</v>
      </c>
      <c r="R236" s="89" t="n">
        <f aca="false">IFERROR(__xludf.dummyfunction("IFERROR(QUERY(INDIRECT(""'""&amp;$F236&amp;""'!C3:""&amp;Q236&amp;""""), ""SELECT ""&amp;I236&amp;"", ""&amp;J236&amp;"", ""&amp;K236&amp;"", ""&amp;L236&amp;"", ""&amp;M236&amp;"", ""&amp;N236&amp;"", ""&amp;O236&amp;"", ""&amp;P236&amp;"" WHERE '""&amp;B236&amp;""' CONTAINS D"", 0), """")"),13)</f>
        <v>13</v>
      </c>
      <c r="S236" s="89" t="n">
        <f aca="false">IFERROR(__xludf.dummyfunction("""COMPUTED_VALUE"""),13)</f>
        <v>13</v>
      </c>
      <c r="T236" s="89"/>
      <c r="U236" s="89"/>
      <c r="V236" s="89" t="n">
        <f aca="false">IFERROR(__xludf.dummyfunction("""COMPUTED_VALUE"""),6)</f>
        <v>6</v>
      </c>
      <c r="W236" s="89"/>
      <c r="X236" s="89" t="n">
        <f aca="false">IFERROR(__xludf.dummyfunction("""COMPUTED_VALUE"""),32)</f>
        <v>32</v>
      </c>
      <c r="Y236" s="89" t="n">
        <f aca="false">IFERROR(__xludf.dummyfunction("""COMPUTED_VALUE"""),64)</f>
        <v>64</v>
      </c>
    </row>
    <row r="237" customFormat="false" ht="17.9" hidden="false" customHeight="false" outlineLevel="0" collapsed="false">
      <c r="A237" s="85" t="n">
        <v>236</v>
      </c>
      <c r="B237" s="85" t="n">
        <v>466932</v>
      </c>
      <c r="C237" s="86" t="s">
        <v>337</v>
      </c>
      <c r="D237" s="87" t="s">
        <v>151</v>
      </c>
      <c r="E237" s="88" t="str">
        <f aca="false">D237</f>
        <v>P3122</v>
      </c>
      <c r="F237" s="88" t="str">
        <f aca="false">REPLACE(E237, 1, 3, "")</f>
        <v>22</v>
      </c>
      <c r="G237" s="89" t="str">
        <f aca="true">IFERROR(VLOOKUP(B237,INDIRECT("'"&amp;$F237&amp;"'!D3:D"),1,FALSE()), "Not found")</f>
        <v>Not found</v>
      </c>
      <c r="H237" s="89" t="n">
        <f aca="true">INDIRECT("'"&amp;$F237&amp;"'!D1")</f>
        <v>0</v>
      </c>
      <c r="I237" s="89" t="str">
        <f aca="false">IFERROR(__xludf.dummyfunction("REGEXEXTRACT(ADDRESS(ROW(), 19+$H237), ""[A-Z]+"")"),"S")</f>
        <v>S</v>
      </c>
      <c r="J237" s="89" t="str">
        <f aca="false">IFERROR(__xludf.dummyfunction("REGEXEXTRACT(ADDRESS(ROW(), 25+$H237), ""[A-Z]+"")"),"Y")</f>
        <v>Y</v>
      </c>
      <c r="K237" s="89" t="str">
        <f aca="false">IFERROR(__xludf.dummyfunction("REGEXEXTRACT(ADDRESS(ROW(), 27+$H237), ""[A-Z]+"")"),"AA")</f>
        <v>AA</v>
      </c>
      <c r="L237" s="89" t="str">
        <f aca="false">IFERROR(__xludf.dummyfunction("REGEXEXTRACT(ADDRESS(ROW(), 28+$H237), ""[A-Z]+"")"),"AB")</f>
        <v>AB</v>
      </c>
      <c r="M237" s="89" t="str">
        <f aca="false">IFERROR(__xludf.dummyfunction("REGEXEXTRACT(ADDRESS(ROW(), 34+$H237), ""[A-Z]+"")"),"AH")</f>
        <v>AH</v>
      </c>
      <c r="N237" s="89" t="str">
        <f aca="false">IFERROR(__xludf.dummyfunction("REGEXEXTRACT(ADDRESS(ROW(), 37+$H237), ""[A-Z]+"")"),"AK")</f>
        <v>AK</v>
      </c>
      <c r="O237" s="89" t="str">
        <f aca="false">IFERROR(__xludf.dummyfunction("REGEXEXTRACT(ADDRESS(ROW(), 38+$H237), ""[A-Z]+"")"),"AL")</f>
        <v>AL</v>
      </c>
      <c r="P237" s="89" t="str">
        <f aca="false">IFERROR(__xludf.dummyfunction("REGEXEXTRACT(ADDRESS(ROW(), 39+$H237), ""[A-Z]+"")"),"AM")</f>
        <v>AM</v>
      </c>
      <c r="Q237" s="89" t="str">
        <f aca="false">IFERROR(__xludf.dummyfunction("REGEXEXTRACT(ADDRESS(ROW(), 40+$H237), ""[A-Z]+"")"),"AN")</f>
        <v>AN</v>
      </c>
      <c r="R237" s="89" t="n">
        <f aca="false">IFERROR(__xludf.dummyfunction("IFERROR(QUERY(INDIRECT(""'""&amp;$F237&amp;""'!C3:""&amp;Q237&amp;""""), ""SELECT ""&amp;I237&amp;"", ""&amp;J237&amp;"", ""&amp;K237&amp;"", ""&amp;L237&amp;"", ""&amp;M237&amp;"", ""&amp;N237&amp;"", ""&amp;O237&amp;"", ""&amp;P237&amp;"" WHERE '""&amp;B237&amp;""' CONTAINS D"", 0), """")"),17.5)</f>
        <v>17.5</v>
      </c>
      <c r="S237" s="89"/>
      <c r="T237" s="89"/>
      <c r="U237" s="89"/>
      <c r="V237" s="89" t="n">
        <f aca="false">IFERROR(__xludf.dummyfunction("""COMPUTED_VALUE"""),0.03)</f>
        <v>0.03</v>
      </c>
      <c r="W237" s="89"/>
      <c r="X237" s="89"/>
      <c r="Y237" s="89" t="n">
        <f aca="false">IFERROR(__xludf.dummyfunction("""COMPUTED_VALUE"""),17.53)</f>
        <v>17.53</v>
      </c>
    </row>
    <row r="238" customFormat="false" ht="17.9" hidden="false" customHeight="false" outlineLevel="0" collapsed="false">
      <c r="A238" s="85" t="n">
        <v>237</v>
      </c>
      <c r="B238" s="85" t="n">
        <v>466938</v>
      </c>
      <c r="C238" s="86" t="s">
        <v>338</v>
      </c>
      <c r="D238" s="87" t="s">
        <v>139</v>
      </c>
      <c r="E238" s="88" t="str">
        <f aca="false">D238</f>
        <v>P3118</v>
      </c>
      <c r="F238" s="88" t="str">
        <f aca="false">REPLACE(E238, 1, 3, "")</f>
        <v>18</v>
      </c>
      <c r="G238" s="89" t="str">
        <f aca="true">IFERROR(VLOOKUP(B238,INDIRECT("'"&amp;$F238&amp;"'!D3:D"),1,FALSE()), "Not found")</f>
        <v>Not found</v>
      </c>
      <c r="H238" s="89" t="n">
        <f aca="true">INDIRECT("'"&amp;$F238&amp;"'!D1")</f>
        <v>0</v>
      </c>
      <c r="I238" s="89" t="str">
        <f aca="false">IFERROR(__xludf.dummyfunction("REGEXEXTRACT(ADDRESS(ROW(), 19+$H238), ""[A-Z]+"")"),"S")</f>
        <v>S</v>
      </c>
      <c r="J238" s="89" t="str">
        <f aca="false">IFERROR(__xludf.dummyfunction("REGEXEXTRACT(ADDRESS(ROW(), 25+$H238), ""[A-Z]+"")"),"Y")</f>
        <v>Y</v>
      </c>
      <c r="K238" s="89" t="str">
        <f aca="false">IFERROR(__xludf.dummyfunction("REGEXEXTRACT(ADDRESS(ROW(), 27+$H238), ""[A-Z]+"")"),"AA")</f>
        <v>AA</v>
      </c>
      <c r="L238" s="89" t="str">
        <f aca="false">IFERROR(__xludf.dummyfunction("REGEXEXTRACT(ADDRESS(ROW(), 28+$H238), ""[A-Z]+"")"),"AB")</f>
        <v>AB</v>
      </c>
      <c r="M238" s="89" t="str">
        <f aca="false">IFERROR(__xludf.dummyfunction("REGEXEXTRACT(ADDRESS(ROW(), 34+$H238), ""[A-Z]+"")"),"AH")</f>
        <v>AH</v>
      </c>
      <c r="N238" s="89" t="str">
        <f aca="false">IFERROR(__xludf.dummyfunction("REGEXEXTRACT(ADDRESS(ROW(), 37+$H238), ""[A-Z]+"")"),"AK")</f>
        <v>AK</v>
      </c>
      <c r="O238" s="89" t="str">
        <f aca="false">IFERROR(__xludf.dummyfunction("REGEXEXTRACT(ADDRESS(ROW(), 38+$H238), ""[A-Z]+"")"),"AL")</f>
        <v>AL</v>
      </c>
      <c r="P238" s="89" t="str">
        <f aca="false">IFERROR(__xludf.dummyfunction("REGEXEXTRACT(ADDRESS(ROW(), 39+$H238), ""[A-Z]+"")"),"AM")</f>
        <v>AM</v>
      </c>
      <c r="Q238" s="89" t="str">
        <f aca="false">IFERROR(__xludf.dummyfunction("REGEXEXTRACT(ADDRESS(ROW(), 40+$H238), ""[A-Z]+"")"),"AN")</f>
        <v>AN</v>
      </c>
      <c r="R238" s="89" t="n">
        <f aca="false">IFERROR(__xludf.dummyfunction("IFERROR(QUERY(INDIRECT(""'""&amp;$F238&amp;""'!C3:""&amp;Q238&amp;""""), ""SELECT ""&amp;I238&amp;"", ""&amp;J238&amp;"", ""&amp;K238&amp;"", ""&amp;L238&amp;"", ""&amp;M238&amp;"", ""&amp;N238&amp;"", ""&amp;O238&amp;"", ""&amp;P238&amp;"" WHERE '""&amp;B238&amp;""' CONTAINS D"", 0), """")"),19.7)</f>
        <v>19.7</v>
      </c>
      <c r="S238" s="89" t="n">
        <f aca="false">IFERROR(__xludf.dummyfunction("""COMPUTED_VALUE"""),19.5)</f>
        <v>19.5</v>
      </c>
      <c r="T238" s="89"/>
      <c r="U238" s="89"/>
      <c r="V238" s="89" t="n">
        <f aca="false">IFERROR(__xludf.dummyfunction("""COMPUTED_VALUE"""),6)</f>
        <v>6</v>
      </c>
      <c r="W238" s="89"/>
      <c r="X238" s="89" t="n">
        <f aca="false">IFERROR(__xludf.dummyfunction("""COMPUTED_VALUE"""),37)</f>
        <v>37</v>
      </c>
      <c r="Y238" s="89" t="n">
        <f aca="false">IFERROR(__xludf.dummyfunction("""COMPUTED_VALUE"""),82.2)</f>
        <v>82.2</v>
      </c>
    </row>
    <row r="239" customFormat="false" ht="17.9" hidden="false" customHeight="false" outlineLevel="0" collapsed="false">
      <c r="A239" s="85" t="n">
        <v>238</v>
      </c>
      <c r="B239" s="85" t="n">
        <v>466944</v>
      </c>
      <c r="C239" s="86" t="s">
        <v>339</v>
      </c>
      <c r="D239" s="87" t="s">
        <v>127</v>
      </c>
      <c r="E239" s="88" t="str">
        <f aca="false">D239</f>
        <v>P3131</v>
      </c>
      <c r="F239" s="88" t="str">
        <f aca="false">REPLACE(E239, 1, 3, "")</f>
        <v>31</v>
      </c>
      <c r="G239" s="89" t="str">
        <f aca="true">IFERROR(VLOOKUP(B239,INDIRECT("'"&amp;$F239&amp;"'!D3:D"),1,FALSE()), "Not found")</f>
        <v>Not found</v>
      </c>
      <c r="H239" s="89" t="n">
        <f aca="true">INDIRECT("'"&amp;$F239&amp;"'!D1")</f>
        <v>0</v>
      </c>
      <c r="I239" s="89" t="str">
        <f aca="false">IFERROR(__xludf.dummyfunction("REGEXEXTRACT(ADDRESS(ROW(), 19+$H239), ""[A-Z]+"")"),"S")</f>
        <v>S</v>
      </c>
      <c r="J239" s="89" t="str">
        <f aca="false">IFERROR(__xludf.dummyfunction("REGEXEXTRACT(ADDRESS(ROW(), 25+$H239), ""[A-Z]+"")"),"Y")</f>
        <v>Y</v>
      </c>
      <c r="K239" s="89" t="str">
        <f aca="false">IFERROR(__xludf.dummyfunction("REGEXEXTRACT(ADDRESS(ROW(), 27+$H239), ""[A-Z]+"")"),"AA")</f>
        <v>AA</v>
      </c>
      <c r="L239" s="89" t="str">
        <f aca="false">IFERROR(__xludf.dummyfunction("REGEXEXTRACT(ADDRESS(ROW(), 28+$H239), ""[A-Z]+"")"),"AB")</f>
        <v>AB</v>
      </c>
      <c r="M239" s="89" t="str">
        <f aca="false">IFERROR(__xludf.dummyfunction("REGEXEXTRACT(ADDRESS(ROW(), 34+$H239), ""[A-Z]+"")"),"AH")</f>
        <v>AH</v>
      </c>
      <c r="N239" s="89" t="str">
        <f aca="false">IFERROR(__xludf.dummyfunction("REGEXEXTRACT(ADDRESS(ROW(), 37+$H239), ""[A-Z]+"")"),"AK")</f>
        <v>AK</v>
      </c>
      <c r="O239" s="89" t="str">
        <f aca="false">IFERROR(__xludf.dummyfunction("REGEXEXTRACT(ADDRESS(ROW(), 38+$H239), ""[A-Z]+"")"),"AL")</f>
        <v>AL</v>
      </c>
      <c r="P239" s="89" t="str">
        <f aca="false">IFERROR(__xludf.dummyfunction("REGEXEXTRACT(ADDRESS(ROW(), 39+$H239), ""[A-Z]+"")"),"AM")</f>
        <v>AM</v>
      </c>
      <c r="Q239" s="89" t="str">
        <f aca="false">IFERROR(__xludf.dummyfunction("REGEXEXTRACT(ADDRESS(ROW(), 40+$H239), ""[A-Z]+"")"),"AN")</f>
        <v>AN</v>
      </c>
      <c r="R239" s="89" t="n">
        <f aca="false">IFERROR(__xludf.dummyfunction("IFERROR(QUERY(INDIRECT(""'""&amp;$F239&amp;""'!C3:""&amp;Q239&amp;""""), ""SELECT ""&amp;I239&amp;"", ""&amp;J239&amp;"", ""&amp;K239&amp;"", ""&amp;L239&amp;"", ""&amp;M239&amp;"", ""&amp;N239&amp;"", ""&amp;O239&amp;"", ""&amp;P239&amp;"" WHERE '""&amp;B239&amp;""' CONTAINS D"", 0), """")"),18.5)</f>
        <v>18.5</v>
      </c>
      <c r="S239" s="89" t="n">
        <f aca="false">IFERROR(__xludf.dummyfunction("""COMPUTED_VALUE"""),15)</f>
        <v>15</v>
      </c>
      <c r="T239" s="89"/>
      <c r="U239" s="89"/>
      <c r="V239" s="89" t="n">
        <f aca="false">IFERROR(__xludf.dummyfunction("""COMPUTED_VALUE"""),6)</f>
        <v>6</v>
      </c>
      <c r="W239" s="89"/>
      <c r="X239" s="89" t="n">
        <f aca="false">IFERROR(__xludf.dummyfunction("""COMPUTED_VALUE"""),40)</f>
        <v>40</v>
      </c>
      <c r="Y239" s="89" t="n">
        <f aca="false">IFERROR(__xludf.dummyfunction("""COMPUTED_VALUE"""),79.5)</f>
        <v>79.5</v>
      </c>
    </row>
    <row r="240" customFormat="false" ht="17.9" hidden="false" customHeight="false" outlineLevel="0" collapsed="false">
      <c r="A240" s="85" t="n">
        <v>239</v>
      </c>
      <c r="B240" s="85" t="n">
        <v>463223</v>
      </c>
      <c r="C240" s="86" t="s">
        <v>340</v>
      </c>
      <c r="D240" s="87" t="s">
        <v>87</v>
      </c>
      <c r="E240" s="88" t="str">
        <f aca="false">D240</f>
        <v>P3130</v>
      </c>
      <c r="F240" s="88" t="str">
        <f aca="false">REPLACE(E240, 1, 3, "")</f>
        <v>30</v>
      </c>
      <c r="G240" s="89" t="str">
        <f aca="true">IFERROR(VLOOKUP(B240,INDIRECT("'"&amp;$F240&amp;"'!D3:D"),1,FALSE()), "Not found")</f>
        <v>Not found</v>
      </c>
      <c r="H240" s="89" t="n">
        <f aca="true">INDIRECT("'"&amp;$F240&amp;"'!D1")</f>
        <v>0</v>
      </c>
      <c r="I240" s="89" t="str">
        <f aca="false">IFERROR(__xludf.dummyfunction("REGEXEXTRACT(ADDRESS(ROW(), 19+$H240), ""[A-Z]+"")"),"S")</f>
        <v>S</v>
      </c>
      <c r="J240" s="89" t="str">
        <f aca="false">IFERROR(__xludf.dummyfunction("REGEXEXTRACT(ADDRESS(ROW(), 25+$H240), ""[A-Z]+"")"),"Y")</f>
        <v>Y</v>
      </c>
      <c r="K240" s="89" t="str">
        <f aca="false">IFERROR(__xludf.dummyfunction("REGEXEXTRACT(ADDRESS(ROW(), 27+$H240), ""[A-Z]+"")"),"AA")</f>
        <v>AA</v>
      </c>
      <c r="L240" s="89" t="str">
        <f aca="false">IFERROR(__xludf.dummyfunction("REGEXEXTRACT(ADDRESS(ROW(), 28+$H240), ""[A-Z]+"")"),"AB")</f>
        <v>AB</v>
      </c>
      <c r="M240" s="89" t="str">
        <f aca="false">IFERROR(__xludf.dummyfunction("REGEXEXTRACT(ADDRESS(ROW(), 34+$H240), ""[A-Z]+"")"),"AH")</f>
        <v>AH</v>
      </c>
      <c r="N240" s="89" t="str">
        <f aca="false">IFERROR(__xludf.dummyfunction("REGEXEXTRACT(ADDRESS(ROW(), 37+$H240), ""[A-Z]+"")"),"AK")</f>
        <v>AK</v>
      </c>
      <c r="O240" s="89" t="str">
        <f aca="false">IFERROR(__xludf.dummyfunction("REGEXEXTRACT(ADDRESS(ROW(), 38+$H240), ""[A-Z]+"")"),"AL")</f>
        <v>AL</v>
      </c>
      <c r="P240" s="89" t="str">
        <f aca="false">IFERROR(__xludf.dummyfunction("REGEXEXTRACT(ADDRESS(ROW(), 39+$H240), ""[A-Z]+"")"),"AM")</f>
        <v>AM</v>
      </c>
      <c r="Q240" s="89" t="str">
        <f aca="false">IFERROR(__xludf.dummyfunction("REGEXEXTRACT(ADDRESS(ROW(), 40+$H240), ""[A-Z]+"")"),"AN")</f>
        <v>AN</v>
      </c>
      <c r="R240" s="89" t="n">
        <f aca="false">IFERROR(__xludf.dummyfunction("IFERROR(QUERY(INDIRECT(""'""&amp;$F240&amp;""'!C3:""&amp;Q240&amp;""""), ""SELECT ""&amp;I240&amp;"", ""&amp;J240&amp;"", ""&amp;K240&amp;"", ""&amp;L240&amp;"", ""&amp;M240&amp;"", ""&amp;N240&amp;"", ""&amp;O240&amp;"", ""&amp;P240&amp;"" WHERE '""&amp;B240&amp;""' CONTAINS D"", 0), """")"),18.5)</f>
        <v>18.5</v>
      </c>
      <c r="S240" s="89" t="n">
        <f aca="false">IFERROR(__xludf.dummyfunction("""COMPUTED_VALUE"""),15)</f>
        <v>15</v>
      </c>
      <c r="T240" s="89"/>
      <c r="U240" s="89"/>
      <c r="V240" s="89" t="n">
        <f aca="false">IFERROR(__xludf.dummyfunction("""COMPUTED_VALUE"""),9)</f>
        <v>9</v>
      </c>
      <c r="W240" s="89"/>
      <c r="X240" s="89" t="n">
        <f aca="false">IFERROR(__xludf.dummyfunction("""COMPUTED_VALUE"""),40)</f>
        <v>40</v>
      </c>
      <c r="Y240" s="89" t="n">
        <f aca="false">IFERROR(__xludf.dummyfunction("""COMPUTED_VALUE"""),82.5)</f>
        <v>82.5</v>
      </c>
    </row>
    <row r="241" customFormat="false" ht="17.9" hidden="false" customHeight="false" outlineLevel="0" collapsed="false">
      <c r="A241" s="85" t="n">
        <v>240</v>
      </c>
      <c r="B241" s="85" t="n">
        <v>466961</v>
      </c>
      <c r="C241" s="86" t="s">
        <v>341</v>
      </c>
      <c r="D241" s="87" t="s">
        <v>93</v>
      </c>
      <c r="E241" s="88" t="str">
        <f aca="false">D241</f>
        <v>P3114</v>
      </c>
      <c r="F241" s="88" t="str">
        <f aca="false">REPLACE(E241, 1, 3, "")</f>
        <v>14</v>
      </c>
      <c r="G241" s="89" t="str">
        <f aca="true">IFERROR(VLOOKUP(B241,INDIRECT("'"&amp;$F241&amp;"'!D3:D"),1,FALSE()), "Not found")</f>
        <v>Not found</v>
      </c>
      <c r="H241" s="89" t="n">
        <f aca="true">INDIRECT("'"&amp;$F241&amp;"'!D1")</f>
        <v>0</v>
      </c>
      <c r="I241" s="89" t="str">
        <f aca="false">IFERROR(__xludf.dummyfunction("REGEXEXTRACT(ADDRESS(ROW(), 19+$H241), ""[A-Z]+"")"),"S")</f>
        <v>S</v>
      </c>
      <c r="J241" s="89" t="str">
        <f aca="false">IFERROR(__xludf.dummyfunction("REGEXEXTRACT(ADDRESS(ROW(), 25+$H241), ""[A-Z]+"")"),"Y")</f>
        <v>Y</v>
      </c>
      <c r="K241" s="89" t="str">
        <f aca="false">IFERROR(__xludf.dummyfunction("REGEXEXTRACT(ADDRESS(ROW(), 27+$H241), ""[A-Z]+"")"),"AA")</f>
        <v>AA</v>
      </c>
      <c r="L241" s="89" t="str">
        <f aca="false">IFERROR(__xludf.dummyfunction("REGEXEXTRACT(ADDRESS(ROW(), 28+$H241), ""[A-Z]+"")"),"AB")</f>
        <v>AB</v>
      </c>
      <c r="M241" s="89" t="str">
        <f aca="false">IFERROR(__xludf.dummyfunction("REGEXEXTRACT(ADDRESS(ROW(), 34+$H241), ""[A-Z]+"")"),"AH")</f>
        <v>AH</v>
      </c>
      <c r="N241" s="89" t="str">
        <f aca="false">IFERROR(__xludf.dummyfunction("REGEXEXTRACT(ADDRESS(ROW(), 37+$H241), ""[A-Z]+"")"),"AK")</f>
        <v>AK</v>
      </c>
      <c r="O241" s="89" t="str">
        <f aca="false">IFERROR(__xludf.dummyfunction("REGEXEXTRACT(ADDRESS(ROW(), 38+$H241), ""[A-Z]+"")"),"AL")</f>
        <v>AL</v>
      </c>
      <c r="P241" s="89" t="str">
        <f aca="false">IFERROR(__xludf.dummyfunction("REGEXEXTRACT(ADDRESS(ROW(), 39+$H241), ""[A-Z]+"")"),"AM")</f>
        <v>AM</v>
      </c>
      <c r="Q241" s="89" t="str">
        <f aca="false">IFERROR(__xludf.dummyfunction("REGEXEXTRACT(ADDRESS(ROW(), 40+$H241), ""[A-Z]+"")"),"AN")</f>
        <v>AN</v>
      </c>
      <c r="R241" s="89" t="str">
        <f aca="false">IFERROR(__xludf.dummyfunction("IFERROR(QUERY(INDIRECT(""'""&amp;$F241&amp;""'!C3:""&amp;Q241&amp;""""), ""SELECT ""&amp;I241&amp;"", ""&amp;J241&amp;"", ""&amp;K241&amp;"", ""&amp;L241&amp;"", ""&amp;M241&amp;"", ""&amp;N241&amp;"", ""&amp;O241&amp;"", ""&amp;P241&amp;"" WHERE '""&amp;B241&amp;""' CONTAINS D"", 0), """")"),"")</f>
        <v/>
      </c>
      <c r="S241" s="89"/>
      <c r="T241" s="89"/>
      <c r="U241" s="89"/>
      <c r="V241" s="89" t="n">
        <f aca="false">IFERROR(__xludf.dummyfunction("""COMPUTED_VALUE"""),0)</f>
        <v>0</v>
      </c>
      <c r="W241" s="89"/>
      <c r="X241" s="89"/>
      <c r="Y241" s="89" t="n">
        <f aca="false">IFERROR(__xludf.dummyfunction("""COMPUTED_VALUE"""),0)</f>
        <v>0</v>
      </c>
    </row>
    <row r="242" customFormat="false" ht="17.9" hidden="false" customHeight="false" outlineLevel="0" collapsed="false">
      <c r="A242" s="85" t="n">
        <v>241</v>
      </c>
      <c r="B242" s="85" t="n">
        <v>466972</v>
      </c>
      <c r="C242" s="86" t="s">
        <v>342</v>
      </c>
      <c r="D242" s="87" t="s">
        <v>89</v>
      </c>
      <c r="E242" s="88" t="str">
        <f aca="false">D242</f>
        <v>P3119</v>
      </c>
      <c r="F242" s="88" t="str">
        <f aca="false">REPLACE(E242, 1, 3, "")</f>
        <v>19</v>
      </c>
      <c r="G242" s="89" t="str">
        <f aca="true">IFERROR(VLOOKUP(B242,INDIRECT("'"&amp;$F242&amp;"'!D3:D"),1,FALSE()), "Not found")</f>
        <v>Not found</v>
      </c>
      <c r="H242" s="89" t="n">
        <f aca="true">INDIRECT("'"&amp;$F242&amp;"'!D1")</f>
        <v>0</v>
      </c>
      <c r="I242" s="89" t="str">
        <f aca="false">IFERROR(__xludf.dummyfunction("REGEXEXTRACT(ADDRESS(ROW(), 19+$H242), ""[A-Z]+"")"),"S")</f>
        <v>S</v>
      </c>
      <c r="J242" s="89" t="str">
        <f aca="false">IFERROR(__xludf.dummyfunction("REGEXEXTRACT(ADDRESS(ROW(), 25+$H242), ""[A-Z]+"")"),"Y")</f>
        <v>Y</v>
      </c>
      <c r="K242" s="89" t="str">
        <f aca="false">IFERROR(__xludf.dummyfunction("REGEXEXTRACT(ADDRESS(ROW(), 27+$H242), ""[A-Z]+"")"),"AA")</f>
        <v>AA</v>
      </c>
      <c r="L242" s="89" t="str">
        <f aca="false">IFERROR(__xludf.dummyfunction("REGEXEXTRACT(ADDRESS(ROW(), 28+$H242), ""[A-Z]+"")"),"AB")</f>
        <v>AB</v>
      </c>
      <c r="M242" s="89" t="str">
        <f aca="false">IFERROR(__xludf.dummyfunction("REGEXEXTRACT(ADDRESS(ROW(), 34+$H242), ""[A-Z]+"")"),"AH")</f>
        <v>AH</v>
      </c>
      <c r="N242" s="89" t="str">
        <f aca="false">IFERROR(__xludf.dummyfunction("REGEXEXTRACT(ADDRESS(ROW(), 37+$H242), ""[A-Z]+"")"),"AK")</f>
        <v>AK</v>
      </c>
      <c r="O242" s="89" t="str">
        <f aca="false">IFERROR(__xludf.dummyfunction("REGEXEXTRACT(ADDRESS(ROW(), 38+$H242), ""[A-Z]+"")"),"AL")</f>
        <v>AL</v>
      </c>
      <c r="P242" s="89" t="str">
        <f aca="false">IFERROR(__xludf.dummyfunction("REGEXEXTRACT(ADDRESS(ROW(), 39+$H242), ""[A-Z]+"")"),"AM")</f>
        <v>AM</v>
      </c>
      <c r="Q242" s="89" t="str">
        <f aca="false">IFERROR(__xludf.dummyfunction("REGEXEXTRACT(ADDRESS(ROW(), 40+$H242), ""[A-Z]+"")"),"AN")</f>
        <v>AN</v>
      </c>
      <c r="R242" s="89" t="n">
        <f aca="false">IFERROR(__xludf.dummyfunction("IFERROR(QUERY(INDIRECT(""'""&amp;$F242&amp;""'!C3:""&amp;Q242&amp;""""), ""SELECT ""&amp;I242&amp;"", ""&amp;J242&amp;"", ""&amp;K242&amp;"", ""&amp;L242&amp;"", ""&amp;M242&amp;"", ""&amp;N242&amp;"", ""&amp;O242&amp;"", ""&amp;P242&amp;"" WHERE '""&amp;B242&amp;""' CONTAINS D"", 0), """")"),20)</f>
        <v>20</v>
      </c>
      <c r="S242" s="89" t="n">
        <f aca="false">IFERROR(__xludf.dummyfunction("""COMPUTED_VALUE"""),20)</f>
        <v>20</v>
      </c>
      <c r="T242" s="89"/>
      <c r="U242" s="89"/>
      <c r="V242" s="89" t="n">
        <f aca="false">IFERROR(__xludf.dummyfunction("""COMPUTED_VALUE"""),10)</f>
        <v>10</v>
      </c>
      <c r="W242" s="89" t="n">
        <f aca="false">IFERROR(__xludf.dummyfunction("""COMPUTED_VALUE"""),3)</f>
        <v>3</v>
      </c>
      <c r="X242" s="89" t="n">
        <f aca="false">IFERROR(__xludf.dummyfunction("""COMPUTED_VALUE"""),40)</f>
        <v>40</v>
      </c>
      <c r="Y242" s="89" t="n">
        <f aca="false">IFERROR(__xludf.dummyfunction("""COMPUTED_VALUE"""),93)</f>
        <v>93</v>
      </c>
    </row>
    <row r="243" customFormat="false" ht="17.9" hidden="false" customHeight="false" outlineLevel="0" collapsed="false">
      <c r="A243" s="85" t="n">
        <v>242</v>
      </c>
      <c r="B243" s="85" t="n">
        <v>348809</v>
      </c>
      <c r="C243" s="86" t="s">
        <v>343</v>
      </c>
      <c r="D243" s="87" t="s">
        <v>139</v>
      </c>
      <c r="E243" s="88" t="str">
        <f aca="false">D243</f>
        <v>P3118</v>
      </c>
      <c r="F243" s="88" t="str">
        <f aca="false">REPLACE(E243, 1, 3, "")</f>
        <v>18</v>
      </c>
      <c r="G243" s="89" t="str">
        <f aca="true">IFERROR(VLOOKUP(B243,INDIRECT("'"&amp;$F243&amp;"'!D3:D"),1,FALSE()), "Not found")</f>
        <v>Not found</v>
      </c>
      <c r="H243" s="89" t="n">
        <f aca="true">INDIRECT("'"&amp;$F243&amp;"'!D1")</f>
        <v>0</v>
      </c>
      <c r="I243" s="89" t="str">
        <f aca="false">IFERROR(__xludf.dummyfunction("REGEXEXTRACT(ADDRESS(ROW(), 19+$H243), ""[A-Z]+"")"),"S")</f>
        <v>S</v>
      </c>
      <c r="J243" s="89" t="str">
        <f aca="false">IFERROR(__xludf.dummyfunction("REGEXEXTRACT(ADDRESS(ROW(), 25+$H243), ""[A-Z]+"")"),"Y")</f>
        <v>Y</v>
      </c>
      <c r="K243" s="89" t="str">
        <f aca="false">IFERROR(__xludf.dummyfunction("REGEXEXTRACT(ADDRESS(ROW(), 27+$H243), ""[A-Z]+"")"),"AA")</f>
        <v>AA</v>
      </c>
      <c r="L243" s="89" t="str">
        <f aca="false">IFERROR(__xludf.dummyfunction("REGEXEXTRACT(ADDRESS(ROW(), 28+$H243), ""[A-Z]+"")"),"AB")</f>
        <v>AB</v>
      </c>
      <c r="M243" s="89" t="str">
        <f aca="false">IFERROR(__xludf.dummyfunction("REGEXEXTRACT(ADDRESS(ROW(), 34+$H243), ""[A-Z]+"")"),"AH")</f>
        <v>AH</v>
      </c>
      <c r="N243" s="89" t="str">
        <f aca="false">IFERROR(__xludf.dummyfunction("REGEXEXTRACT(ADDRESS(ROW(), 37+$H243), ""[A-Z]+"")"),"AK")</f>
        <v>AK</v>
      </c>
      <c r="O243" s="89" t="str">
        <f aca="false">IFERROR(__xludf.dummyfunction("REGEXEXTRACT(ADDRESS(ROW(), 38+$H243), ""[A-Z]+"")"),"AL")</f>
        <v>AL</v>
      </c>
      <c r="P243" s="89" t="str">
        <f aca="false">IFERROR(__xludf.dummyfunction("REGEXEXTRACT(ADDRESS(ROW(), 39+$H243), ""[A-Z]+"")"),"AM")</f>
        <v>AM</v>
      </c>
      <c r="Q243" s="89" t="str">
        <f aca="false">IFERROR(__xludf.dummyfunction("REGEXEXTRACT(ADDRESS(ROW(), 40+$H243), ""[A-Z]+"")"),"AN")</f>
        <v>AN</v>
      </c>
      <c r="R243" s="89" t="n">
        <f aca="false">IFERROR(__xludf.dummyfunction("IFERROR(QUERY(INDIRECT(""'""&amp;$F243&amp;""'!C3:""&amp;Q243&amp;""""), ""SELECT ""&amp;I243&amp;"", ""&amp;J243&amp;"", ""&amp;K243&amp;"", ""&amp;L243&amp;"", ""&amp;M243&amp;"", ""&amp;N243&amp;"", ""&amp;O243&amp;"", ""&amp;P243&amp;"" WHERE '""&amp;B243&amp;""' CONTAINS D"", 0), """")"),17.2)</f>
        <v>17.2</v>
      </c>
      <c r="S243" s="89" t="n">
        <f aca="false">IFERROR(__xludf.dummyfunction("""COMPUTED_VALUE"""),17.7)</f>
        <v>17.7</v>
      </c>
      <c r="T243" s="89"/>
      <c r="U243" s="89"/>
      <c r="V243" s="89" t="n">
        <f aca="false">IFERROR(__xludf.dummyfunction("""COMPUTED_VALUE"""),6)</f>
        <v>6</v>
      </c>
      <c r="W243" s="89"/>
      <c r="X243" s="89" t="n">
        <f aca="false">IFERROR(__xludf.dummyfunction("""COMPUTED_VALUE"""),33)</f>
        <v>33</v>
      </c>
      <c r="Y243" s="89" t="n">
        <f aca="false">IFERROR(__xludf.dummyfunction("""COMPUTED_VALUE"""),73.9)</f>
        <v>73.9</v>
      </c>
    </row>
    <row r="244" customFormat="false" ht="17.9" hidden="false" customHeight="false" outlineLevel="0" collapsed="false">
      <c r="A244" s="85" t="n">
        <v>243</v>
      </c>
      <c r="B244" s="85" t="n">
        <v>466985</v>
      </c>
      <c r="C244" s="86" t="s">
        <v>344</v>
      </c>
      <c r="D244" s="87" t="s">
        <v>130</v>
      </c>
      <c r="E244" s="88" t="str">
        <f aca="false">D244</f>
        <v>P3117</v>
      </c>
      <c r="F244" s="88" t="str">
        <f aca="false">REPLACE(E244, 1, 3, "")</f>
        <v>17</v>
      </c>
      <c r="G244" s="89" t="str">
        <f aca="true">IFERROR(VLOOKUP(B244,INDIRECT("'"&amp;$F244&amp;"'!D3:D"),1,FALSE()), "Not found")</f>
        <v>Not found</v>
      </c>
      <c r="H244" s="89" t="n">
        <f aca="true">INDIRECT("'"&amp;$F244&amp;"'!D1")</f>
        <v>1</v>
      </c>
      <c r="I244" s="89" t="str">
        <f aca="false">IFERROR(__xludf.dummyfunction("REGEXEXTRACT(ADDRESS(ROW(), 19+$H244), ""[A-Z]+"")"),"T")</f>
        <v>T</v>
      </c>
      <c r="J244" s="89" t="str">
        <f aca="false">IFERROR(__xludf.dummyfunction("REGEXEXTRACT(ADDRESS(ROW(), 25+$H244), ""[A-Z]+"")"),"Z")</f>
        <v>Z</v>
      </c>
      <c r="K244" s="89" t="str">
        <f aca="false">IFERROR(__xludf.dummyfunction("REGEXEXTRACT(ADDRESS(ROW(), 27+$H244), ""[A-Z]+"")"),"AB")</f>
        <v>AB</v>
      </c>
      <c r="L244" s="89" t="str">
        <f aca="false">IFERROR(__xludf.dummyfunction("REGEXEXTRACT(ADDRESS(ROW(), 28+$H244), ""[A-Z]+"")"),"AC")</f>
        <v>AC</v>
      </c>
      <c r="M244" s="89" t="str">
        <f aca="false">IFERROR(__xludf.dummyfunction("REGEXEXTRACT(ADDRESS(ROW(), 34+$H244), ""[A-Z]+"")"),"AI")</f>
        <v>AI</v>
      </c>
      <c r="N244" s="89" t="str">
        <f aca="false">IFERROR(__xludf.dummyfunction("REGEXEXTRACT(ADDRESS(ROW(), 37+$H244), ""[A-Z]+"")"),"AL")</f>
        <v>AL</v>
      </c>
      <c r="O244" s="89" t="str">
        <f aca="false">IFERROR(__xludf.dummyfunction("REGEXEXTRACT(ADDRESS(ROW(), 38+$H244), ""[A-Z]+"")"),"AM")</f>
        <v>AM</v>
      </c>
      <c r="P244" s="89" t="str">
        <f aca="false">IFERROR(__xludf.dummyfunction("REGEXEXTRACT(ADDRESS(ROW(), 39+$H244), ""[A-Z]+"")"),"AN")</f>
        <v>AN</v>
      </c>
      <c r="Q244" s="89" t="str">
        <f aca="false">IFERROR(__xludf.dummyfunction("REGEXEXTRACT(ADDRESS(ROW(), 40+$H244), ""[A-Z]+"")"),"AO")</f>
        <v>AO</v>
      </c>
      <c r="R244" s="89" t="n">
        <f aca="false">IFERROR(__xludf.dummyfunction("IFERROR(QUERY(INDIRECT(""'""&amp;$F244&amp;""'!C3:""&amp;Q244&amp;""""), ""SELECT ""&amp;I244&amp;"", ""&amp;J244&amp;"", ""&amp;K244&amp;"", ""&amp;L244&amp;"", ""&amp;M244&amp;"", ""&amp;N244&amp;"", ""&amp;O244&amp;"", ""&amp;P244&amp;"" WHERE '""&amp;B244&amp;""' CONTAINS D"", 0), """")"),19)</f>
        <v>19</v>
      </c>
      <c r="S244" s="89" t="n">
        <f aca="false">IFERROR(__xludf.dummyfunction("""COMPUTED_VALUE"""),19)</f>
        <v>19</v>
      </c>
      <c r="T244" s="89"/>
      <c r="U244" s="89"/>
      <c r="V244" s="89" t="n">
        <f aca="false">IFERROR(__xludf.dummyfunction("""COMPUTED_VALUE"""),10)</f>
        <v>10</v>
      </c>
      <c r="W244" s="89"/>
      <c r="X244" s="89" t="n">
        <f aca="false">IFERROR(__xludf.dummyfunction("""COMPUTED_VALUE"""),40)</f>
        <v>40</v>
      </c>
      <c r="Y244" s="89" t="n">
        <f aca="false">IFERROR(__xludf.dummyfunction("""COMPUTED_VALUE"""),88)</f>
        <v>88</v>
      </c>
    </row>
    <row r="245" customFormat="false" ht="17.9" hidden="false" customHeight="false" outlineLevel="0" collapsed="false">
      <c r="A245" s="85" t="n">
        <v>244</v>
      </c>
      <c r="B245" s="85" t="n">
        <v>406672</v>
      </c>
      <c r="C245" s="86" t="s">
        <v>345</v>
      </c>
      <c r="D245" s="87" t="s">
        <v>151</v>
      </c>
      <c r="E245" s="88" t="str">
        <f aca="false">D245</f>
        <v>P3122</v>
      </c>
      <c r="F245" s="88" t="str">
        <f aca="false">REPLACE(E245, 1, 3, "")</f>
        <v>22</v>
      </c>
      <c r="G245" s="89" t="str">
        <f aca="true">IFERROR(VLOOKUP(B245,INDIRECT("'"&amp;$F245&amp;"'!D3:D"),1,FALSE()), "Not found")</f>
        <v>Not found</v>
      </c>
      <c r="H245" s="89" t="n">
        <f aca="true">INDIRECT("'"&amp;$F245&amp;"'!D1")</f>
        <v>0</v>
      </c>
      <c r="I245" s="89" t="str">
        <f aca="false">IFERROR(__xludf.dummyfunction("REGEXEXTRACT(ADDRESS(ROW(), 19+$H245), ""[A-Z]+"")"),"S")</f>
        <v>S</v>
      </c>
      <c r="J245" s="89" t="str">
        <f aca="false">IFERROR(__xludf.dummyfunction("REGEXEXTRACT(ADDRESS(ROW(), 25+$H245), ""[A-Z]+"")"),"Y")</f>
        <v>Y</v>
      </c>
      <c r="K245" s="89" t="str">
        <f aca="false">IFERROR(__xludf.dummyfunction("REGEXEXTRACT(ADDRESS(ROW(), 27+$H245), ""[A-Z]+"")"),"AA")</f>
        <v>AA</v>
      </c>
      <c r="L245" s="89" t="str">
        <f aca="false">IFERROR(__xludf.dummyfunction("REGEXEXTRACT(ADDRESS(ROW(), 28+$H245), ""[A-Z]+"")"),"AB")</f>
        <v>AB</v>
      </c>
      <c r="M245" s="89" t="str">
        <f aca="false">IFERROR(__xludf.dummyfunction("REGEXEXTRACT(ADDRESS(ROW(), 34+$H245), ""[A-Z]+"")"),"AH")</f>
        <v>AH</v>
      </c>
      <c r="N245" s="89" t="str">
        <f aca="false">IFERROR(__xludf.dummyfunction("REGEXEXTRACT(ADDRESS(ROW(), 37+$H245), ""[A-Z]+"")"),"AK")</f>
        <v>AK</v>
      </c>
      <c r="O245" s="89" t="str">
        <f aca="false">IFERROR(__xludf.dummyfunction("REGEXEXTRACT(ADDRESS(ROW(), 38+$H245), ""[A-Z]+"")"),"AL")</f>
        <v>AL</v>
      </c>
      <c r="P245" s="89" t="str">
        <f aca="false">IFERROR(__xludf.dummyfunction("REGEXEXTRACT(ADDRESS(ROW(), 39+$H245), ""[A-Z]+"")"),"AM")</f>
        <v>AM</v>
      </c>
      <c r="Q245" s="89" t="str">
        <f aca="false">IFERROR(__xludf.dummyfunction("REGEXEXTRACT(ADDRESS(ROW(), 40+$H245), ""[A-Z]+"")"),"AN")</f>
        <v>AN</v>
      </c>
      <c r="R245" s="89" t="n">
        <f aca="false">IFERROR(__xludf.dummyfunction("IFERROR(QUERY(INDIRECT(""'""&amp;$F245&amp;""'!C3:""&amp;Q245&amp;""""), ""SELECT ""&amp;I245&amp;"", ""&amp;J245&amp;"", ""&amp;K245&amp;"", ""&amp;L245&amp;"", ""&amp;M245&amp;"", ""&amp;N245&amp;"", ""&amp;O245&amp;"", ""&amp;P245&amp;"" WHERE '""&amp;B245&amp;""' CONTAINS D"", 0), """")"),19)</f>
        <v>19</v>
      </c>
      <c r="S245" s="89" t="n">
        <f aca="false">IFERROR(__xludf.dummyfunction("""COMPUTED_VALUE"""),20)</f>
        <v>20</v>
      </c>
      <c r="T245" s="89"/>
      <c r="U245" s="89"/>
      <c r="V245" s="89" t="n">
        <f aca="false">IFERROR(__xludf.dummyfunction("""COMPUTED_VALUE"""),6)</f>
        <v>6</v>
      </c>
      <c r="W245" s="89"/>
      <c r="X245" s="89" t="n">
        <f aca="false">IFERROR(__xludf.dummyfunction("""COMPUTED_VALUE"""),40)</f>
        <v>40</v>
      </c>
      <c r="Y245" s="89" t="n">
        <f aca="false">IFERROR(__xludf.dummyfunction("""COMPUTED_VALUE"""),85)</f>
        <v>85</v>
      </c>
    </row>
    <row r="246" customFormat="false" ht="17.9" hidden="false" customHeight="false" outlineLevel="0" collapsed="false">
      <c r="A246" s="85" t="n">
        <v>245</v>
      </c>
      <c r="B246" s="85" t="n">
        <v>409297</v>
      </c>
      <c r="C246" s="86" t="s">
        <v>346</v>
      </c>
      <c r="D246" s="87" t="s">
        <v>117</v>
      </c>
      <c r="E246" s="88" t="str">
        <f aca="false">D246</f>
        <v>P3116</v>
      </c>
      <c r="F246" s="88" t="str">
        <f aca="false">REPLACE(E246, 1, 3, "")</f>
        <v>16</v>
      </c>
      <c r="G246" s="89" t="str">
        <f aca="true">IFERROR(VLOOKUP(B246,INDIRECT("'"&amp;$F246&amp;"'!D3:D"),1,FALSE()), "Not found")</f>
        <v>Not found</v>
      </c>
      <c r="H246" s="89" t="n">
        <f aca="true">INDIRECT("'"&amp;$F246&amp;"'!D1")</f>
        <v>0</v>
      </c>
      <c r="I246" s="89" t="str">
        <f aca="false">IFERROR(__xludf.dummyfunction("REGEXEXTRACT(ADDRESS(ROW(), 19+$H246), ""[A-Z]+"")"),"S")</f>
        <v>S</v>
      </c>
      <c r="J246" s="89" t="str">
        <f aca="false">IFERROR(__xludf.dummyfunction("REGEXEXTRACT(ADDRESS(ROW(), 25+$H246), ""[A-Z]+"")"),"Y")</f>
        <v>Y</v>
      </c>
      <c r="K246" s="89" t="str">
        <f aca="false">IFERROR(__xludf.dummyfunction("REGEXEXTRACT(ADDRESS(ROW(), 27+$H246), ""[A-Z]+"")"),"AA")</f>
        <v>AA</v>
      </c>
      <c r="L246" s="89" t="str">
        <f aca="false">IFERROR(__xludf.dummyfunction("REGEXEXTRACT(ADDRESS(ROW(), 28+$H246), ""[A-Z]+"")"),"AB")</f>
        <v>AB</v>
      </c>
      <c r="M246" s="89" t="str">
        <f aca="false">IFERROR(__xludf.dummyfunction("REGEXEXTRACT(ADDRESS(ROW(), 34+$H246), ""[A-Z]+"")"),"AH")</f>
        <v>AH</v>
      </c>
      <c r="N246" s="89" t="str">
        <f aca="false">IFERROR(__xludf.dummyfunction("REGEXEXTRACT(ADDRESS(ROW(), 37+$H246), ""[A-Z]+"")"),"AK")</f>
        <v>AK</v>
      </c>
      <c r="O246" s="89" t="str">
        <f aca="false">IFERROR(__xludf.dummyfunction("REGEXEXTRACT(ADDRESS(ROW(), 38+$H246), ""[A-Z]+"")"),"AL")</f>
        <v>AL</v>
      </c>
      <c r="P246" s="89" t="str">
        <f aca="false">IFERROR(__xludf.dummyfunction("REGEXEXTRACT(ADDRESS(ROW(), 39+$H246), ""[A-Z]+"")"),"AM")</f>
        <v>AM</v>
      </c>
      <c r="Q246" s="89" t="str">
        <f aca="false">IFERROR(__xludf.dummyfunction("REGEXEXTRACT(ADDRESS(ROW(), 40+$H246), ""[A-Z]+"")"),"AN")</f>
        <v>AN</v>
      </c>
      <c r="R246" s="89" t="str">
        <f aca="false">IFERROR(__xludf.dummyfunction("IFERROR(QUERY(INDIRECT(""'""&amp;$F246&amp;""'!C3:""&amp;Q246&amp;""""), ""SELECT ""&amp;I246&amp;"", ""&amp;J246&amp;"", ""&amp;K246&amp;"", ""&amp;L246&amp;"", ""&amp;M246&amp;"", ""&amp;N246&amp;"", ""&amp;O246&amp;"", ""&amp;P246&amp;"" WHERE '""&amp;B246&amp;""' CONTAINS D"", 0), """")"),"")</f>
        <v/>
      </c>
      <c r="S246" s="89"/>
      <c r="T246" s="89"/>
      <c r="U246" s="89"/>
      <c r="V246" s="89" t="n">
        <f aca="false">IFERROR(__xludf.dummyfunction("""COMPUTED_VALUE"""),0)</f>
        <v>0</v>
      </c>
      <c r="W246" s="89"/>
      <c r="X246" s="89"/>
      <c r="Y246" s="89" t="n">
        <f aca="false">IFERROR(__xludf.dummyfunction("""COMPUTED_VALUE"""),0)</f>
        <v>0</v>
      </c>
    </row>
    <row r="247" customFormat="false" ht="17.9" hidden="false" customHeight="false" outlineLevel="0" collapsed="false">
      <c r="A247" s="85" t="n">
        <v>246</v>
      </c>
      <c r="B247" s="85" t="n">
        <v>467018</v>
      </c>
      <c r="C247" s="86" t="s">
        <v>347</v>
      </c>
      <c r="D247" s="87" t="s">
        <v>125</v>
      </c>
      <c r="E247" s="88" t="str">
        <f aca="false">D247</f>
        <v>P3115</v>
      </c>
      <c r="F247" s="88" t="str">
        <f aca="false">REPLACE(E247, 1, 3, "")</f>
        <v>15</v>
      </c>
      <c r="G247" s="89" t="str">
        <f aca="true">IFERROR(VLOOKUP(B247,INDIRECT("'"&amp;$F247&amp;"'!D3:D"),1,FALSE()), "Not found")</f>
        <v>Not found</v>
      </c>
      <c r="H247" s="89" t="n">
        <f aca="true">INDIRECT("'"&amp;$F247&amp;"'!D1")</f>
        <v>1</v>
      </c>
      <c r="I247" s="89" t="str">
        <f aca="false">IFERROR(__xludf.dummyfunction("REGEXEXTRACT(ADDRESS(ROW(), 19+$H247), ""[A-Z]+"")"),"T")</f>
        <v>T</v>
      </c>
      <c r="J247" s="89" t="str">
        <f aca="false">IFERROR(__xludf.dummyfunction("REGEXEXTRACT(ADDRESS(ROW(), 25+$H247), ""[A-Z]+"")"),"Z")</f>
        <v>Z</v>
      </c>
      <c r="K247" s="89" t="str">
        <f aca="false">IFERROR(__xludf.dummyfunction("REGEXEXTRACT(ADDRESS(ROW(), 27+$H247), ""[A-Z]+"")"),"AB")</f>
        <v>AB</v>
      </c>
      <c r="L247" s="89" t="str">
        <f aca="false">IFERROR(__xludf.dummyfunction("REGEXEXTRACT(ADDRESS(ROW(), 28+$H247), ""[A-Z]+"")"),"AC")</f>
        <v>AC</v>
      </c>
      <c r="M247" s="89" t="str">
        <f aca="false">IFERROR(__xludf.dummyfunction("REGEXEXTRACT(ADDRESS(ROW(), 34+$H247), ""[A-Z]+"")"),"AI")</f>
        <v>AI</v>
      </c>
      <c r="N247" s="89" t="str">
        <f aca="false">IFERROR(__xludf.dummyfunction("REGEXEXTRACT(ADDRESS(ROW(), 37+$H247), ""[A-Z]+"")"),"AL")</f>
        <v>AL</v>
      </c>
      <c r="O247" s="89" t="str">
        <f aca="false">IFERROR(__xludf.dummyfunction("REGEXEXTRACT(ADDRESS(ROW(), 38+$H247), ""[A-Z]+"")"),"AM")</f>
        <v>AM</v>
      </c>
      <c r="P247" s="89" t="str">
        <f aca="false">IFERROR(__xludf.dummyfunction("REGEXEXTRACT(ADDRESS(ROW(), 39+$H247), ""[A-Z]+"")"),"AN")</f>
        <v>AN</v>
      </c>
      <c r="Q247" s="89" t="str">
        <f aca="false">IFERROR(__xludf.dummyfunction("REGEXEXTRACT(ADDRESS(ROW(), 40+$H247), ""[A-Z]+"")"),"AO")</f>
        <v>AO</v>
      </c>
      <c r="R247" s="89" t="n">
        <f aca="false">IFERROR(__xludf.dummyfunction("IFERROR(QUERY(INDIRECT(""'""&amp;$F247&amp;""'!C3:""&amp;Q247&amp;""""), ""SELECT ""&amp;I247&amp;"", ""&amp;J247&amp;"", ""&amp;K247&amp;"", ""&amp;L247&amp;"", ""&amp;M247&amp;"", ""&amp;N247&amp;"", ""&amp;O247&amp;"", ""&amp;P247&amp;"" WHERE '""&amp;B247&amp;""' CONTAINS D"", 0), """")"),19)</f>
        <v>19</v>
      </c>
      <c r="S247" s="89" t="n">
        <f aca="false">IFERROR(__xludf.dummyfunction("""COMPUTED_VALUE"""),14)</f>
        <v>14</v>
      </c>
      <c r="T247" s="89"/>
      <c r="U247" s="89"/>
      <c r="V247" s="89" t="n">
        <f aca="false">IFERROR(__xludf.dummyfunction("""COMPUTED_VALUE"""),9)</f>
        <v>9</v>
      </c>
      <c r="W247" s="89"/>
      <c r="X247" s="89" t="n">
        <f aca="false">IFERROR(__xludf.dummyfunction("""COMPUTED_VALUE"""),30)</f>
        <v>30</v>
      </c>
      <c r="Y247" s="89" t="n">
        <f aca="false">IFERROR(__xludf.dummyfunction("""COMPUTED_VALUE"""),72)</f>
        <v>72</v>
      </c>
    </row>
    <row r="248" customFormat="false" ht="17.9" hidden="false" customHeight="false" outlineLevel="0" collapsed="false">
      <c r="A248" s="85" t="n">
        <v>247</v>
      </c>
      <c r="B248" s="85" t="n">
        <v>467027</v>
      </c>
      <c r="C248" s="86" t="s">
        <v>348</v>
      </c>
      <c r="D248" s="87" t="s">
        <v>93</v>
      </c>
      <c r="E248" s="88" t="str">
        <f aca="false">D248</f>
        <v>P3114</v>
      </c>
      <c r="F248" s="88" t="str">
        <f aca="false">REPLACE(E248, 1, 3, "")</f>
        <v>14</v>
      </c>
      <c r="G248" s="89" t="str">
        <f aca="true">IFERROR(VLOOKUP(B248,INDIRECT("'"&amp;$F248&amp;"'!D3:D"),1,FALSE()), "Not found")</f>
        <v>Not found</v>
      </c>
      <c r="H248" s="89" t="n">
        <f aca="true">INDIRECT("'"&amp;$F248&amp;"'!D1")</f>
        <v>0</v>
      </c>
      <c r="I248" s="89" t="str">
        <f aca="false">IFERROR(__xludf.dummyfunction("REGEXEXTRACT(ADDRESS(ROW(), 19+$H248), ""[A-Z]+"")"),"S")</f>
        <v>S</v>
      </c>
      <c r="J248" s="89" t="str">
        <f aca="false">IFERROR(__xludf.dummyfunction("REGEXEXTRACT(ADDRESS(ROW(), 25+$H248), ""[A-Z]+"")"),"Y")</f>
        <v>Y</v>
      </c>
      <c r="K248" s="89" t="str">
        <f aca="false">IFERROR(__xludf.dummyfunction("REGEXEXTRACT(ADDRESS(ROW(), 27+$H248), ""[A-Z]+"")"),"AA")</f>
        <v>AA</v>
      </c>
      <c r="L248" s="89" t="str">
        <f aca="false">IFERROR(__xludf.dummyfunction("REGEXEXTRACT(ADDRESS(ROW(), 28+$H248), ""[A-Z]+"")"),"AB")</f>
        <v>AB</v>
      </c>
      <c r="M248" s="89" t="str">
        <f aca="false">IFERROR(__xludf.dummyfunction("REGEXEXTRACT(ADDRESS(ROW(), 34+$H248), ""[A-Z]+"")"),"AH")</f>
        <v>AH</v>
      </c>
      <c r="N248" s="89" t="str">
        <f aca="false">IFERROR(__xludf.dummyfunction("REGEXEXTRACT(ADDRESS(ROW(), 37+$H248), ""[A-Z]+"")"),"AK")</f>
        <v>AK</v>
      </c>
      <c r="O248" s="89" t="str">
        <f aca="false">IFERROR(__xludf.dummyfunction("REGEXEXTRACT(ADDRESS(ROW(), 38+$H248), ""[A-Z]+"")"),"AL")</f>
        <v>AL</v>
      </c>
      <c r="P248" s="89" t="str">
        <f aca="false">IFERROR(__xludf.dummyfunction("REGEXEXTRACT(ADDRESS(ROW(), 39+$H248), ""[A-Z]+"")"),"AM")</f>
        <v>AM</v>
      </c>
      <c r="Q248" s="89" t="str">
        <f aca="false">IFERROR(__xludf.dummyfunction("REGEXEXTRACT(ADDRESS(ROW(), 40+$H248), ""[A-Z]+"")"),"AN")</f>
        <v>AN</v>
      </c>
      <c r="R248" s="89" t="n">
        <f aca="false">IFERROR(__xludf.dummyfunction("IFERROR(QUERY(INDIRECT(""'""&amp;$F248&amp;""'!C3:""&amp;Q248&amp;""""), ""SELECT ""&amp;I248&amp;"", ""&amp;J248&amp;"", ""&amp;K248&amp;"", ""&amp;L248&amp;"", ""&amp;M248&amp;"", ""&amp;N248&amp;"", ""&amp;O248&amp;"", ""&amp;P248&amp;"" WHERE '""&amp;B248&amp;""' CONTAINS D"", 0), """")"),20)</f>
        <v>20</v>
      </c>
      <c r="S248" s="89" t="n">
        <f aca="false">IFERROR(__xludf.dummyfunction("""COMPUTED_VALUE"""),20)</f>
        <v>20</v>
      </c>
      <c r="T248" s="89"/>
      <c r="U248" s="89"/>
      <c r="V248" s="89" t="n">
        <f aca="false">IFERROR(__xludf.dummyfunction("""COMPUTED_VALUE"""),9)</f>
        <v>9</v>
      </c>
      <c r="W248" s="89"/>
      <c r="X248" s="89" t="n">
        <f aca="false">IFERROR(__xludf.dummyfunction("""COMPUTED_VALUE"""),40)</f>
        <v>40</v>
      </c>
      <c r="Y248" s="89" t="n">
        <f aca="false">IFERROR(__xludf.dummyfunction("""COMPUTED_VALUE"""),89)</f>
        <v>89</v>
      </c>
    </row>
    <row r="249" customFormat="false" ht="17.9" hidden="false" customHeight="false" outlineLevel="0" collapsed="false">
      <c r="A249" s="85" t="n">
        <v>248</v>
      </c>
      <c r="B249" s="85" t="n">
        <v>467037</v>
      </c>
      <c r="C249" s="86" t="s">
        <v>349</v>
      </c>
      <c r="D249" s="87" t="s">
        <v>117</v>
      </c>
      <c r="E249" s="88" t="str">
        <f aca="false">D249</f>
        <v>P3116</v>
      </c>
      <c r="F249" s="88" t="str">
        <f aca="false">REPLACE(E249, 1, 3, "")</f>
        <v>16</v>
      </c>
      <c r="G249" s="89" t="str">
        <f aca="true">IFERROR(VLOOKUP(B249,INDIRECT("'"&amp;$F249&amp;"'!D3:D"),1,FALSE()), "Not found")</f>
        <v>Not found</v>
      </c>
      <c r="H249" s="89" t="n">
        <f aca="true">INDIRECT("'"&amp;$F249&amp;"'!D1")</f>
        <v>0</v>
      </c>
      <c r="I249" s="89" t="str">
        <f aca="false">IFERROR(__xludf.dummyfunction("REGEXEXTRACT(ADDRESS(ROW(), 19+$H249), ""[A-Z]+"")"),"S")</f>
        <v>S</v>
      </c>
      <c r="J249" s="89" t="str">
        <f aca="false">IFERROR(__xludf.dummyfunction("REGEXEXTRACT(ADDRESS(ROW(), 25+$H249), ""[A-Z]+"")"),"Y")</f>
        <v>Y</v>
      </c>
      <c r="K249" s="89" t="str">
        <f aca="false">IFERROR(__xludf.dummyfunction("REGEXEXTRACT(ADDRESS(ROW(), 27+$H249), ""[A-Z]+"")"),"AA")</f>
        <v>AA</v>
      </c>
      <c r="L249" s="89" t="str">
        <f aca="false">IFERROR(__xludf.dummyfunction("REGEXEXTRACT(ADDRESS(ROW(), 28+$H249), ""[A-Z]+"")"),"AB")</f>
        <v>AB</v>
      </c>
      <c r="M249" s="89" t="str">
        <f aca="false">IFERROR(__xludf.dummyfunction("REGEXEXTRACT(ADDRESS(ROW(), 34+$H249), ""[A-Z]+"")"),"AH")</f>
        <v>AH</v>
      </c>
      <c r="N249" s="89" t="str">
        <f aca="false">IFERROR(__xludf.dummyfunction("REGEXEXTRACT(ADDRESS(ROW(), 37+$H249), ""[A-Z]+"")"),"AK")</f>
        <v>AK</v>
      </c>
      <c r="O249" s="89" t="str">
        <f aca="false">IFERROR(__xludf.dummyfunction("REGEXEXTRACT(ADDRESS(ROW(), 38+$H249), ""[A-Z]+"")"),"AL")</f>
        <v>AL</v>
      </c>
      <c r="P249" s="89" t="str">
        <f aca="false">IFERROR(__xludf.dummyfunction("REGEXEXTRACT(ADDRESS(ROW(), 39+$H249), ""[A-Z]+"")"),"AM")</f>
        <v>AM</v>
      </c>
      <c r="Q249" s="89" t="str">
        <f aca="false">IFERROR(__xludf.dummyfunction("REGEXEXTRACT(ADDRESS(ROW(), 40+$H249), ""[A-Z]+"")"),"AN")</f>
        <v>AN</v>
      </c>
      <c r="R249" s="89" t="n">
        <f aca="false">IFERROR(__xludf.dummyfunction("IFERROR(QUERY(INDIRECT(""'""&amp;$F249&amp;""'!C3:""&amp;Q249&amp;""""), ""SELECT ""&amp;I249&amp;"", ""&amp;J249&amp;"", ""&amp;K249&amp;"", ""&amp;L249&amp;"", ""&amp;M249&amp;"", ""&amp;N249&amp;"", ""&amp;O249&amp;"", ""&amp;P249&amp;"" WHERE '""&amp;B249&amp;""' CONTAINS D"", 0), """")"),20)</f>
        <v>20</v>
      </c>
      <c r="S249" s="89" t="n">
        <f aca="false">IFERROR(__xludf.dummyfunction("""COMPUTED_VALUE"""),20)</f>
        <v>20</v>
      </c>
      <c r="T249" s="89"/>
      <c r="U249" s="89"/>
      <c r="V249" s="89" t="n">
        <f aca="false">IFERROR(__xludf.dummyfunction("""COMPUTED_VALUE"""),10)</f>
        <v>10</v>
      </c>
      <c r="W249" s="89"/>
      <c r="X249" s="89" t="n">
        <f aca="false">IFERROR(__xludf.dummyfunction("""COMPUTED_VALUE"""),40)</f>
        <v>40</v>
      </c>
      <c r="Y249" s="89" t="n">
        <f aca="false">IFERROR(__xludf.dummyfunction("""COMPUTED_VALUE"""),90)</f>
        <v>90</v>
      </c>
    </row>
    <row r="250" customFormat="false" ht="17.9" hidden="false" customHeight="false" outlineLevel="0" collapsed="false">
      <c r="A250" s="85" t="n">
        <v>249</v>
      </c>
      <c r="B250" s="85" t="n">
        <v>467039</v>
      </c>
      <c r="C250" s="86" t="s">
        <v>350</v>
      </c>
      <c r="D250" s="87" t="s">
        <v>146</v>
      </c>
      <c r="E250" s="88" t="str">
        <f aca="false">D250</f>
        <v>P3113</v>
      </c>
      <c r="F250" s="88" t="str">
        <f aca="false">REPLACE(E250, 1, 3, "")</f>
        <v>13</v>
      </c>
      <c r="G250" s="89" t="str">
        <f aca="true">IFERROR(VLOOKUP(B250,INDIRECT("'"&amp;$F250&amp;"'!D3:D"),1,FALSE()), "Not found")</f>
        <v>Not found</v>
      </c>
      <c r="H250" s="89" t="n">
        <f aca="true">INDIRECT("'"&amp;$F250&amp;"'!D1")</f>
        <v>0</v>
      </c>
      <c r="I250" s="89" t="str">
        <f aca="false">IFERROR(__xludf.dummyfunction("REGEXEXTRACT(ADDRESS(ROW(), 19+$H250), ""[A-Z]+"")"),"S")</f>
        <v>S</v>
      </c>
      <c r="J250" s="89" t="str">
        <f aca="false">IFERROR(__xludf.dummyfunction("REGEXEXTRACT(ADDRESS(ROW(), 25+$H250), ""[A-Z]+"")"),"Y")</f>
        <v>Y</v>
      </c>
      <c r="K250" s="89" t="str">
        <f aca="false">IFERROR(__xludf.dummyfunction("REGEXEXTRACT(ADDRESS(ROW(), 27+$H250), ""[A-Z]+"")"),"AA")</f>
        <v>AA</v>
      </c>
      <c r="L250" s="89" t="str">
        <f aca="false">IFERROR(__xludf.dummyfunction("REGEXEXTRACT(ADDRESS(ROW(), 28+$H250), ""[A-Z]+"")"),"AB")</f>
        <v>AB</v>
      </c>
      <c r="M250" s="89" t="str">
        <f aca="false">IFERROR(__xludf.dummyfunction("REGEXEXTRACT(ADDRESS(ROW(), 34+$H250), ""[A-Z]+"")"),"AH")</f>
        <v>AH</v>
      </c>
      <c r="N250" s="89" t="str">
        <f aca="false">IFERROR(__xludf.dummyfunction("REGEXEXTRACT(ADDRESS(ROW(), 37+$H250), ""[A-Z]+"")"),"AK")</f>
        <v>AK</v>
      </c>
      <c r="O250" s="89" t="str">
        <f aca="false">IFERROR(__xludf.dummyfunction("REGEXEXTRACT(ADDRESS(ROW(), 38+$H250), ""[A-Z]+"")"),"AL")</f>
        <v>AL</v>
      </c>
      <c r="P250" s="89" t="str">
        <f aca="false">IFERROR(__xludf.dummyfunction("REGEXEXTRACT(ADDRESS(ROW(), 39+$H250), ""[A-Z]+"")"),"AM")</f>
        <v>AM</v>
      </c>
      <c r="Q250" s="89" t="str">
        <f aca="false">IFERROR(__xludf.dummyfunction("REGEXEXTRACT(ADDRESS(ROW(), 40+$H250), ""[A-Z]+"")"),"AN")</f>
        <v>AN</v>
      </c>
      <c r="R250" s="89" t="n">
        <f aca="false">IFERROR(__xludf.dummyfunction("IFERROR(QUERY(INDIRECT(""'""&amp;$F250&amp;""'!C3:""&amp;Q250&amp;""""), ""SELECT ""&amp;I250&amp;"", ""&amp;J250&amp;"", ""&amp;K250&amp;"", ""&amp;L250&amp;"", ""&amp;M250&amp;"", ""&amp;N250&amp;"", ""&amp;O250&amp;"", ""&amp;P250&amp;"" WHERE '""&amp;B250&amp;""' CONTAINS D"", 0), """")"),18)</f>
        <v>18</v>
      </c>
      <c r="S250" s="89" t="n">
        <f aca="false">IFERROR(__xludf.dummyfunction("""COMPUTED_VALUE"""),16)</f>
        <v>16</v>
      </c>
      <c r="T250" s="89"/>
      <c r="U250" s="89"/>
      <c r="V250" s="89" t="n">
        <f aca="false">IFERROR(__xludf.dummyfunction("""COMPUTED_VALUE"""),6)</f>
        <v>6</v>
      </c>
      <c r="W250" s="89"/>
      <c r="X250" s="89" t="n">
        <f aca="false">IFERROR(__xludf.dummyfunction("""COMPUTED_VALUE"""),24)</f>
        <v>24</v>
      </c>
      <c r="Y250" s="89" t="n">
        <f aca="false">IFERROR(__xludf.dummyfunction("""COMPUTED_VALUE"""),64)</f>
        <v>64</v>
      </c>
    </row>
    <row r="251" customFormat="false" ht="17.9" hidden="false" customHeight="false" outlineLevel="0" collapsed="false">
      <c r="A251" s="85" t="n">
        <v>250</v>
      </c>
      <c r="B251" s="85" t="n">
        <v>467072</v>
      </c>
      <c r="C251" s="86" t="s">
        <v>351</v>
      </c>
      <c r="D251" s="87" t="s">
        <v>117</v>
      </c>
      <c r="E251" s="88" t="str">
        <f aca="false">D251</f>
        <v>P3116</v>
      </c>
      <c r="F251" s="88" t="str">
        <f aca="false">REPLACE(E251, 1, 3, "")</f>
        <v>16</v>
      </c>
      <c r="G251" s="89" t="str">
        <f aca="true">IFERROR(VLOOKUP(B251,INDIRECT("'"&amp;$F251&amp;"'!D3:D"),1,FALSE()), "Not found")</f>
        <v>Not found</v>
      </c>
      <c r="H251" s="89" t="n">
        <f aca="true">INDIRECT("'"&amp;$F251&amp;"'!D1")</f>
        <v>0</v>
      </c>
      <c r="I251" s="89" t="str">
        <f aca="false">IFERROR(__xludf.dummyfunction("REGEXEXTRACT(ADDRESS(ROW(), 19+$H251), ""[A-Z]+"")"),"S")</f>
        <v>S</v>
      </c>
      <c r="J251" s="89" t="str">
        <f aca="false">IFERROR(__xludf.dummyfunction("REGEXEXTRACT(ADDRESS(ROW(), 25+$H251), ""[A-Z]+"")"),"Y")</f>
        <v>Y</v>
      </c>
      <c r="K251" s="89" t="str">
        <f aca="false">IFERROR(__xludf.dummyfunction("REGEXEXTRACT(ADDRESS(ROW(), 27+$H251), ""[A-Z]+"")"),"AA")</f>
        <v>AA</v>
      </c>
      <c r="L251" s="89" t="str">
        <f aca="false">IFERROR(__xludf.dummyfunction("REGEXEXTRACT(ADDRESS(ROW(), 28+$H251), ""[A-Z]+"")"),"AB")</f>
        <v>AB</v>
      </c>
      <c r="M251" s="89" t="str">
        <f aca="false">IFERROR(__xludf.dummyfunction("REGEXEXTRACT(ADDRESS(ROW(), 34+$H251), ""[A-Z]+"")"),"AH")</f>
        <v>AH</v>
      </c>
      <c r="N251" s="89" t="str">
        <f aca="false">IFERROR(__xludf.dummyfunction("REGEXEXTRACT(ADDRESS(ROW(), 37+$H251), ""[A-Z]+"")"),"AK")</f>
        <v>AK</v>
      </c>
      <c r="O251" s="89" t="str">
        <f aca="false">IFERROR(__xludf.dummyfunction("REGEXEXTRACT(ADDRESS(ROW(), 38+$H251), ""[A-Z]+"")"),"AL")</f>
        <v>AL</v>
      </c>
      <c r="P251" s="89" t="str">
        <f aca="false">IFERROR(__xludf.dummyfunction("REGEXEXTRACT(ADDRESS(ROW(), 39+$H251), ""[A-Z]+"")"),"AM")</f>
        <v>AM</v>
      </c>
      <c r="Q251" s="89" t="str">
        <f aca="false">IFERROR(__xludf.dummyfunction("REGEXEXTRACT(ADDRESS(ROW(), 40+$H251), ""[A-Z]+"")"),"AN")</f>
        <v>AN</v>
      </c>
      <c r="R251" s="89" t="n">
        <f aca="false">IFERROR(__xludf.dummyfunction("IFERROR(QUERY(INDIRECT(""'""&amp;$F251&amp;""'!C3:""&amp;Q251&amp;""""), ""SELECT ""&amp;I251&amp;"", ""&amp;J251&amp;"", ""&amp;K251&amp;"", ""&amp;L251&amp;"", ""&amp;M251&amp;"", ""&amp;N251&amp;"", ""&amp;O251&amp;"", ""&amp;P251&amp;"" WHERE '""&amp;B251&amp;""' CONTAINS D"", 0), """")"),20)</f>
        <v>20</v>
      </c>
      <c r="S251" s="89" t="n">
        <f aca="false">IFERROR(__xludf.dummyfunction("""COMPUTED_VALUE"""),20)</f>
        <v>20</v>
      </c>
      <c r="T251" s="89"/>
      <c r="U251" s="89"/>
      <c r="V251" s="89" t="n">
        <f aca="false">IFERROR(__xludf.dummyfunction("""COMPUTED_VALUE"""),10)</f>
        <v>10</v>
      </c>
      <c r="W251" s="89"/>
      <c r="X251" s="89" t="n">
        <f aca="false">IFERROR(__xludf.dummyfunction("""COMPUTED_VALUE"""),40)</f>
        <v>40</v>
      </c>
      <c r="Y251" s="89" t="n">
        <f aca="false">IFERROR(__xludf.dummyfunction("""COMPUTED_VALUE"""),90)</f>
        <v>90</v>
      </c>
    </row>
    <row r="252" customFormat="false" ht="17.9" hidden="false" customHeight="false" outlineLevel="0" collapsed="false">
      <c r="A252" s="85" t="n">
        <v>251</v>
      </c>
      <c r="B252" s="85" t="n">
        <v>467082</v>
      </c>
      <c r="C252" s="86" t="s">
        <v>352</v>
      </c>
      <c r="D252" s="87" t="s">
        <v>127</v>
      </c>
      <c r="E252" s="88" t="str">
        <f aca="false">D252</f>
        <v>P3131</v>
      </c>
      <c r="F252" s="88" t="str">
        <f aca="false">REPLACE(E252, 1, 3, "")</f>
        <v>31</v>
      </c>
      <c r="G252" s="89" t="str">
        <f aca="true">IFERROR(VLOOKUP(B252,INDIRECT("'"&amp;$F252&amp;"'!D3:D"),1,FALSE()), "Not found")</f>
        <v>Not found</v>
      </c>
      <c r="H252" s="89" t="n">
        <f aca="true">INDIRECT("'"&amp;$F252&amp;"'!D1")</f>
        <v>0</v>
      </c>
      <c r="I252" s="89" t="str">
        <f aca="false">IFERROR(__xludf.dummyfunction("REGEXEXTRACT(ADDRESS(ROW(), 19+$H252), ""[A-Z]+"")"),"S")</f>
        <v>S</v>
      </c>
      <c r="J252" s="89" t="str">
        <f aca="false">IFERROR(__xludf.dummyfunction("REGEXEXTRACT(ADDRESS(ROW(), 25+$H252), ""[A-Z]+"")"),"Y")</f>
        <v>Y</v>
      </c>
      <c r="K252" s="89" t="str">
        <f aca="false">IFERROR(__xludf.dummyfunction("REGEXEXTRACT(ADDRESS(ROW(), 27+$H252), ""[A-Z]+"")"),"AA")</f>
        <v>AA</v>
      </c>
      <c r="L252" s="89" t="str">
        <f aca="false">IFERROR(__xludf.dummyfunction("REGEXEXTRACT(ADDRESS(ROW(), 28+$H252), ""[A-Z]+"")"),"AB")</f>
        <v>AB</v>
      </c>
      <c r="M252" s="89" t="str">
        <f aca="false">IFERROR(__xludf.dummyfunction("REGEXEXTRACT(ADDRESS(ROW(), 34+$H252), ""[A-Z]+"")"),"AH")</f>
        <v>AH</v>
      </c>
      <c r="N252" s="89" t="str">
        <f aca="false">IFERROR(__xludf.dummyfunction("REGEXEXTRACT(ADDRESS(ROW(), 37+$H252), ""[A-Z]+"")"),"AK")</f>
        <v>AK</v>
      </c>
      <c r="O252" s="89" t="str">
        <f aca="false">IFERROR(__xludf.dummyfunction("REGEXEXTRACT(ADDRESS(ROW(), 38+$H252), ""[A-Z]+"")"),"AL")</f>
        <v>AL</v>
      </c>
      <c r="P252" s="89" t="str">
        <f aca="false">IFERROR(__xludf.dummyfunction("REGEXEXTRACT(ADDRESS(ROW(), 39+$H252), ""[A-Z]+"")"),"AM")</f>
        <v>AM</v>
      </c>
      <c r="Q252" s="89" t="str">
        <f aca="false">IFERROR(__xludf.dummyfunction("REGEXEXTRACT(ADDRESS(ROW(), 40+$H252), ""[A-Z]+"")"),"AN")</f>
        <v>AN</v>
      </c>
      <c r="R252" s="89" t="n">
        <f aca="false">IFERROR(__xludf.dummyfunction("IFERROR(QUERY(INDIRECT(""'""&amp;$F252&amp;""'!C3:""&amp;Q252&amp;""""), ""SELECT ""&amp;I252&amp;"", ""&amp;J252&amp;"", ""&amp;K252&amp;"", ""&amp;L252&amp;"", ""&amp;M252&amp;"", ""&amp;N252&amp;"", ""&amp;O252&amp;"", ""&amp;P252&amp;"" WHERE '""&amp;B252&amp;""' CONTAINS D"", 0), """")"),14)</f>
        <v>14</v>
      </c>
      <c r="S252" s="89" t="n">
        <f aca="false">IFERROR(__xludf.dummyfunction("""COMPUTED_VALUE"""),19)</f>
        <v>19</v>
      </c>
      <c r="T252" s="89"/>
      <c r="U252" s="89"/>
      <c r="V252" s="89" t="n">
        <f aca="false">IFERROR(__xludf.dummyfunction("""COMPUTED_VALUE"""),8)</f>
        <v>8</v>
      </c>
      <c r="W252" s="89"/>
      <c r="X252" s="89" t="n">
        <f aca="false">IFERROR(__xludf.dummyfunction("""COMPUTED_VALUE"""),40)</f>
        <v>40</v>
      </c>
      <c r="Y252" s="89" t="n">
        <f aca="false">IFERROR(__xludf.dummyfunction("""COMPUTED_VALUE"""),81)</f>
        <v>81</v>
      </c>
    </row>
    <row r="253" customFormat="false" ht="17.9" hidden="false" customHeight="false" outlineLevel="0" collapsed="false">
      <c r="A253" s="85" t="n">
        <v>252</v>
      </c>
      <c r="B253" s="85" t="n">
        <v>467088</v>
      </c>
      <c r="C253" s="86" t="s">
        <v>353</v>
      </c>
      <c r="D253" s="87" t="s">
        <v>89</v>
      </c>
      <c r="E253" s="88" t="str">
        <f aca="false">D253</f>
        <v>P3119</v>
      </c>
      <c r="F253" s="88" t="str">
        <f aca="false">REPLACE(E253, 1, 3, "")</f>
        <v>19</v>
      </c>
      <c r="G253" s="89" t="str">
        <f aca="true">IFERROR(VLOOKUP(B253,INDIRECT("'"&amp;$F253&amp;"'!D3:D"),1,FALSE()), "Not found")</f>
        <v>Not found</v>
      </c>
      <c r="H253" s="89" t="n">
        <f aca="true">INDIRECT("'"&amp;$F253&amp;"'!D1")</f>
        <v>0</v>
      </c>
      <c r="I253" s="89" t="str">
        <f aca="false">IFERROR(__xludf.dummyfunction("REGEXEXTRACT(ADDRESS(ROW(), 19+$H253), ""[A-Z]+"")"),"S")</f>
        <v>S</v>
      </c>
      <c r="J253" s="89" t="str">
        <f aca="false">IFERROR(__xludf.dummyfunction("REGEXEXTRACT(ADDRESS(ROW(), 25+$H253), ""[A-Z]+"")"),"Y")</f>
        <v>Y</v>
      </c>
      <c r="K253" s="89" t="str">
        <f aca="false">IFERROR(__xludf.dummyfunction("REGEXEXTRACT(ADDRESS(ROW(), 27+$H253), ""[A-Z]+"")"),"AA")</f>
        <v>AA</v>
      </c>
      <c r="L253" s="89" t="str">
        <f aca="false">IFERROR(__xludf.dummyfunction("REGEXEXTRACT(ADDRESS(ROW(), 28+$H253), ""[A-Z]+"")"),"AB")</f>
        <v>AB</v>
      </c>
      <c r="M253" s="89" t="str">
        <f aca="false">IFERROR(__xludf.dummyfunction("REGEXEXTRACT(ADDRESS(ROW(), 34+$H253), ""[A-Z]+"")"),"AH")</f>
        <v>AH</v>
      </c>
      <c r="N253" s="89" t="str">
        <f aca="false">IFERROR(__xludf.dummyfunction("REGEXEXTRACT(ADDRESS(ROW(), 37+$H253), ""[A-Z]+"")"),"AK")</f>
        <v>AK</v>
      </c>
      <c r="O253" s="89" t="str">
        <f aca="false">IFERROR(__xludf.dummyfunction("REGEXEXTRACT(ADDRESS(ROW(), 38+$H253), ""[A-Z]+"")"),"AL")</f>
        <v>AL</v>
      </c>
      <c r="P253" s="89" t="str">
        <f aca="false">IFERROR(__xludf.dummyfunction("REGEXEXTRACT(ADDRESS(ROW(), 39+$H253), ""[A-Z]+"")"),"AM")</f>
        <v>AM</v>
      </c>
      <c r="Q253" s="89" t="str">
        <f aca="false">IFERROR(__xludf.dummyfunction("REGEXEXTRACT(ADDRESS(ROW(), 40+$H253), ""[A-Z]+"")"),"AN")</f>
        <v>AN</v>
      </c>
      <c r="R253" s="89" t="n">
        <f aca="false">IFERROR(__xludf.dummyfunction("IFERROR(QUERY(INDIRECT(""'""&amp;$F253&amp;""'!C3:""&amp;Q253&amp;""""), ""SELECT ""&amp;I253&amp;"", ""&amp;J253&amp;"", ""&amp;K253&amp;"", ""&amp;L253&amp;"", ""&amp;M253&amp;"", ""&amp;N253&amp;"", ""&amp;O253&amp;"", ""&amp;P253&amp;"" WHERE '""&amp;B253&amp;""' CONTAINS D"", 0), """")"),16)</f>
        <v>16</v>
      </c>
      <c r="S253" s="89" t="n">
        <f aca="false">IFERROR(__xludf.dummyfunction("""COMPUTED_VALUE"""),18)</f>
        <v>18</v>
      </c>
      <c r="T253" s="89"/>
      <c r="U253" s="89"/>
      <c r="V253" s="89" t="n">
        <f aca="false">IFERROR(__xludf.dummyfunction("""COMPUTED_VALUE"""),6)</f>
        <v>6</v>
      </c>
      <c r="W253" s="89"/>
      <c r="X253" s="89" t="n">
        <f aca="false">IFERROR(__xludf.dummyfunction("""COMPUTED_VALUE"""),32)</f>
        <v>32</v>
      </c>
      <c r="Y253" s="89" t="n">
        <f aca="false">IFERROR(__xludf.dummyfunction("""COMPUTED_VALUE"""),72)</f>
        <v>72</v>
      </c>
    </row>
    <row r="254" customFormat="false" ht="17.9" hidden="false" customHeight="false" outlineLevel="0" collapsed="false">
      <c r="A254" s="85" t="n">
        <v>253</v>
      </c>
      <c r="B254" s="85" t="n">
        <v>467092</v>
      </c>
      <c r="C254" s="86" t="s">
        <v>354</v>
      </c>
      <c r="D254" s="87" t="s">
        <v>139</v>
      </c>
      <c r="E254" s="88" t="str">
        <f aca="false">D254</f>
        <v>P3118</v>
      </c>
      <c r="F254" s="88" t="str">
        <f aca="false">REPLACE(E254, 1, 3, "")</f>
        <v>18</v>
      </c>
      <c r="G254" s="89" t="str">
        <f aca="true">IFERROR(VLOOKUP(B254,INDIRECT("'"&amp;$F254&amp;"'!D3:D"),1,FALSE()), "Not found")</f>
        <v>Not found</v>
      </c>
      <c r="H254" s="89" t="n">
        <f aca="true">INDIRECT("'"&amp;$F254&amp;"'!D1")</f>
        <v>0</v>
      </c>
      <c r="I254" s="89" t="str">
        <f aca="false">IFERROR(__xludf.dummyfunction("REGEXEXTRACT(ADDRESS(ROW(), 19+$H254), ""[A-Z]+"")"),"S")</f>
        <v>S</v>
      </c>
      <c r="J254" s="89" t="str">
        <f aca="false">IFERROR(__xludf.dummyfunction("REGEXEXTRACT(ADDRESS(ROW(), 25+$H254), ""[A-Z]+"")"),"Y")</f>
        <v>Y</v>
      </c>
      <c r="K254" s="89" t="str">
        <f aca="false">IFERROR(__xludf.dummyfunction("REGEXEXTRACT(ADDRESS(ROW(), 27+$H254), ""[A-Z]+"")"),"AA")</f>
        <v>AA</v>
      </c>
      <c r="L254" s="89" t="str">
        <f aca="false">IFERROR(__xludf.dummyfunction("REGEXEXTRACT(ADDRESS(ROW(), 28+$H254), ""[A-Z]+"")"),"AB")</f>
        <v>AB</v>
      </c>
      <c r="M254" s="89" t="str">
        <f aca="false">IFERROR(__xludf.dummyfunction("REGEXEXTRACT(ADDRESS(ROW(), 34+$H254), ""[A-Z]+"")"),"AH")</f>
        <v>AH</v>
      </c>
      <c r="N254" s="89" t="str">
        <f aca="false">IFERROR(__xludf.dummyfunction("REGEXEXTRACT(ADDRESS(ROW(), 37+$H254), ""[A-Z]+"")"),"AK")</f>
        <v>AK</v>
      </c>
      <c r="O254" s="89" t="str">
        <f aca="false">IFERROR(__xludf.dummyfunction("REGEXEXTRACT(ADDRESS(ROW(), 38+$H254), ""[A-Z]+"")"),"AL")</f>
        <v>AL</v>
      </c>
      <c r="P254" s="89" t="str">
        <f aca="false">IFERROR(__xludf.dummyfunction("REGEXEXTRACT(ADDRESS(ROW(), 39+$H254), ""[A-Z]+"")"),"AM")</f>
        <v>AM</v>
      </c>
      <c r="Q254" s="89" t="str">
        <f aca="false">IFERROR(__xludf.dummyfunction("REGEXEXTRACT(ADDRESS(ROW(), 40+$H254), ""[A-Z]+"")"),"AN")</f>
        <v>AN</v>
      </c>
      <c r="R254" s="89" t="n">
        <f aca="false">IFERROR(__xludf.dummyfunction("IFERROR(QUERY(INDIRECT(""'""&amp;$F254&amp;""'!C3:""&amp;Q254&amp;""""), ""SELECT ""&amp;I254&amp;"", ""&amp;J254&amp;"", ""&amp;K254&amp;"", ""&amp;L254&amp;"", ""&amp;M254&amp;"", ""&amp;N254&amp;"", ""&amp;O254&amp;"", ""&amp;P254&amp;"" WHERE '""&amp;B254&amp;""' CONTAINS D"", 0), """")"),18.8)</f>
        <v>18.8</v>
      </c>
      <c r="S254" s="89" t="n">
        <f aca="false">IFERROR(__xludf.dummyfunction("""COMPUTED_VALUE"""),19.4)</f>
        <v>19.4</v>
      </c>
      <c r="T254" s="89"/>
      <c r="U254" s="89"/>
      <c r="V254" s="89" t="n">
        <f aca="false">IFERROR(__xludf.dummyfunction("""COMPUTED_VALUE"""),9.8)</f>
        <v>9.8</v>
      </c>
      <c r="W254" s="89"/>
      <c r="X254" s="89" t="n">
        <f aca="false">IFERROR(__xludf.dummyfunction("""COMPUTED_VALUE"""),37)</f>
        <v>37</v>
      </c>
      <c r="Y254" s="89" t="n">
        <f aca="false">IFERROR(__xludf.dummyfunction("""COMPUTED_VALUE"""),85)</f>
        <v>85</v>
      </c>
    </row>
    <row r="255" customFormat="false" ht="17.9" hidden="false" customHeight="false" outlineLevel="0" collapsed="false">
      <c r="A255" s="85" t="n">
        <v>254</v>
      </c>
      <c r="B255" s="85" t="n">
        <v>467109</v>
      </c>
      <c r="C255" s="86" t="s">
        <v>355</v>
      </c>
      <c r="D255" s="87" t="s">
        <v>146</v>
      </c>
      <c r="E255" s="88" t="str">
        <f aca="false">D255</f>
        <v>P3113</v>
      </c>
      <c r="F255" s="88" t="str">
        <f aca="false">REPLACE(E255, 1, 3, "")</f>
        <v>13</v>
      </c>
      <c r="G255" s="89" t="str">
        <f aca="true">IFERROR(VLOOKUP(B255,INDIRECT("'"&amp;$F255&amp;"'!D3:D"),1,FALSE()), "Not found")</f>
        <v>Not found</v>
      </c>
      <c r="H255" s="89" t="n">
        <f aca="true">INDIRECT("'"&amp;$F255&amp;"'!D1")</f>
        <v>0</v>
      </c>
      <c r="I255" s="89" t="str">
        <f aca="false">IFERROR(__xludf.dummyfunction("REGEXEXTRACT(ADDRESS(ROW(), 19+$H255), ""[A-Z]+"")"),"S")</f>
        <v>S</v>
      </c>
      <c r="J255" s="89" t="str">
        <f aca="false">IFERROR(__xludf.dummyfunction("REGEXEXTRACT(ADDRESS(ROW(), 25+$H255), ""[A-Z]+"")"),"Y")</f>
        <v>Y</v>
      </c>
      <c r="K255" s="89" t="str">
        <f aca="false">IFERROR(__xludf.dummyfunction("REGEXEXTRACT(ADDRESS(ROW(), 27+$H255), ""[A-Z]+"")"),"AA")</f>
        <v>AA</v>
      </c>
      <c r="L255" s="89" t="str">
        <f aca="false">IFERROR(__xludf.dummyfunction("REGEXEXTRACT(ADDRESS(ROW(), 28+$H255), ""[A-Z]+"")"),"AB")</f>
        <v>AB</v>
      </c>
      <c r="M255" s="89" t="str">
        <f aca="false">IFERROR(__xludf.dummyfunction("REGEXEXTRACT(ADDRESS(ROW(), 34+$H255), ""[A-Z]+"")"),"AH")</f>
        <v>AH</v>
      </c>
      <c r="N255" s="89" t="str">
        <f aca="false">IFERROR(__xludf.dummyfunction("REGEXEXTRACT(ADDRESS(ROW(), 37+$H255), ""[A-Z]+"")"),"AK")</f>
        <v>AK</v>
      </c>
      <c r="O255" s="89" t="str">
        <f aca="false">IFERROR(__xludf.dummyfunction("REGEXEXTRACT(ADDRESS(ROW(), 38+$H255), ""[A-Z]+"")"),"AL")</f>
        <v>AL</v>
      </c>
      <c r="P255" s="89" t="str">
        <f aca="false">IFERROR(__xludf.dummyfunction("REGEXEXTRACT(ADDRESS(ROW(), 39+$H255), ""[A-Z]+"")"),"AM")</f>
        <v>AM</v>
      </c>
      <c r="Q255" s="89" t="str">
        <f aca="false">IFERROR(__xludf.dummyfunction("REGEXEXTRACT(ADDRESS(ROW(), 40+$H255), ""[A-Z]+"")"),"AN")</f>
        <v>AN</v>
      </c>
      <c r="R255" s="89" t="n">
        <f aca="false">IFERROR(__xludf.dummyfunction("IFERROR(QUERY(INDIRECT(""'""&amp;$F255&amp;""'!C3:""&amp;Q255&amp;""""), ""SELECT ""&amp;I255&amp;"", ""&amp;J255&amp;"", ""&amp;K255&amp;"", ""&amp;L255&amp;"", ""&amp;M255&amp;"", ""&amp;N255&amp;"", ""&amp;O255&amp;"", ""&amp;P255&amp;"" WHERE '""&amp;B255&amp;""' CONTAINS D"", 0), """")"),18)</f>
        <v>18</v>
      </c>
      <c r="S255" s="89" t="n">
        <f aca="false">IFERROR(__xludf.dummyfunction("""COMPUTED_VALUE"""),18)</f>
        <v>18</v>
      </c>
      <c r="T255" s="89"/>
      <c r="U255" s="89"/>
      <c r="V255" s="89" t="n">
        <f aca="false">IFERROR(__xludf.dummyfunction("""COMPUTED_VALUE"""),6)</f>
        <v>6</v>
      </c>
      <c r="W255" s="89"/>
      <c r="X255" s="89" t="n">
        <f aca="false">IFERROR(__xludf.dummyfunction("""COMPUTED_VALUE"""),37)</f>
        <v>37</v>
      </c>
      <c r="Y255" s="89" t="n">
        <f aca="false">IFERROR(__xludf.dummyfunction("""COMPUTED_VALUE"""),79)</f>
        <v>79</v>
      </c>
    </row>
    <row r="256" customFormat="false" ht="17.9" hidden="false" customHeight="false" outlineLevel="0" collapsed="false">
      <c r="A256" s="85" t="n">
        <v>255</v>
      </c>
      <c r="B256" s="85" t="n">
        <v>467132</v>
      </c>
      <c r="C256" s="86" t="s">
        <v>356</v>
      </c>
      <c r="D256" s="87" t="s">
        <v>100</v>
      </c>
      <c r="E256" s="88" t="str">
        <f aca="false">D256</f>
        <v>P3112</v>
      </c>
      <c r="F256" s="88" t="str">
        <f aca="false">REPLACE(E256, 1, 3, "")</f>
        <v>12</v>
      </c>
      <c r="G256" s="89" t="str">
        <f aca="true">IFERROR(VLOOKUP(B256,INDIRECT("'"&amp;$F256&amp;"'!D3:D"),1,FALSE()), "Not found")</f>
        <v>Not found</v>
      </c>
      <c r="H256" s="89" t="n">
        <f aca="true">INDIRECT("'"&amp;$F256&amp;"'!D1")</f>
        <v>0</v>
      </c>
      <c r="I256" s="89" t="str">
        <f aca="false">IFERROR(__xludf.dummyfunction("REGEXEXTRACT(ADDRESS(ROW(), 19+$H256), ""[A-Z]+"")"),"S")</f>
        <v>S</v>
      </c>
      <c r="J256" s="89" t="str">
        <f aca="false">IFERROR(__xludf.dummyfunction("REGEXEXTRACT(ADDRESS(ROW(), 25+$H256), ""[A-Z]+"")"),"Y")</f>
        <v>Y</v>
      </c>
      <c r="K256" s="89" t="str">
        <f aca="false">IFERROR(__xludf.dummyfunction("REGEXEXTRACT(ADDRESS(ROW(), 27+$H256), ""[A-Z]+"")"),"AA")</f>
        <v>AA</v>
      </c>
      <c r="L256" s="89" t="str">
        <f aca="false">IFERROR(__xludf.dummyfunction("REGEXEXTRACT(ADDRESS(ROW(), 28+$H256), ""[A-Z]+"")"),"AB")</f>
        <v>AB</v>
      </c>
      <c r="M256" s="89" t="str">
        <f aca="false">IFERROR(__xludf.dummyfunction("REGEXEXTRACT(ADDRESS(ROW(), 34+$H256), ""[A-Z]+"")"),"AH")</f>
        <v>AH</v>
      </c>
      <c r="N256" s="89" t="str">
        <f aca="false">IFERROR(__xludf.dummyfunction("REGEXEXTRACT(ADDRESS(ROW(), 37+$H256), ""[A-Z]+"")"),"AK")</f>
        <v>AK</v>
      </c>
      <c r="O256" s="89" t="str">
        <f aca="false">IFERROR(__xludf.dummyfunction("REGEXEXTRACT(ADDRESS(ROW(), 38+$H256), ""[A-Z]+"")"),"AL")</f>
        <v>AL</v>
      </c>
      <c r="P256" s="89" t="str">
        <f aca="false">IFERROR(__xludf.dummyfunction("REGEXEXTRACT(ADDRESS(ROW(), 39+$H256), ""[A-Z]+"")"),"AM")</f>
        <v>AM</v>
      </c>
      <c r="Q256" s="89" t="str">
        <f aca="false">IFERROR(__xludf.dummyfunction("REGEXEXTRACT(ADDRESS(ROW(), 40+$H256), ""[A-Z]+"")"),"AN")</f>
        <v>AN</v>
      </c>
      <c r="R256" s="89" t="n">
        <f aca="false">IFERROR(__xludf.dummyfunction("IFERROR(QUERY(INDIRECT(""'""&amp;$F256&amp;""'!C3:""&amp;Q256&amp;""""), ""SELECT ""&amp;I256&amp;"", ""&amp;J256&amp;"", ""&amp;K256&amp;"", ""&amp;L256&amp;"", ""&amp;M256&amp;"", ""&amp;N256&amp;"", ""&amp;O256&amp;"", ""&amp;P256&amp;"" WHERE '""&amp;B256&amp;""' CONTAINS D"", 0), """")"),17)</f>
        <v>17</v>
      </c>
      <c r="S256" s="89" t="n">
        <f aca="false">IFERROR(__xludf.dummyfunction("""COMPUTED_VALUE"""),18)</f>
        <v>18</v>
      </c>
      <c r="T256" s="89"/>
      <c r="U256" s="89"/>
      <c r="V256" s="89" t="n">
        <f aca="false">IFERROR(__xludf.dummyfunction("""COMPUTED_VALUE"""),8.5)</f>
        <v>8.5</v>
      </c>
      <c r="W256" s="89"/>
      <c r="X256" s="89" t="n">
        <f aca="false">IFERROR(__xludf.dummyfunction("""COMPUTED_VALUE"""),40)</f>
        <v>40</v>
      </c>
      <c r="Y256" s="89" t="n">
        <f aca="false">IFERROR(__xludf.dummyfunction("""COMPUTED_VALUE"""),83.5)</f>
        <v>83.5</v>
      </c>
    </row>
    <row r="257" customFormat="false" ht="17.9" hidden="false" customHeight="false" outlineLevel="0" collapsed="false">
      <c r="A257" s="85" t="n">
        <v>256</v>
      </c>
      <c r="B257" s="85" t="n">
        <v>409364</v>
      </c>
      <c r="C257" s="86" t="s">
        <v>357</v>
      </c>
      <c r="D257" s="87" t="s">
        <v>91</v>
      </c>
      <c r="E257" s="88" t="str">
        <f aca="false">D257</f>
        <v>P3111</v>
      </c>
      <c r="F257" s="88" t="str">
        <f aca="false">REPLACE(E257, 1, 3, "")</f>
        <v>11</v>
      </c>
      <c r="G257" s="89" t="str">
        <f aca="true">IFERROR(VLOOKUP(B257,INDIRECT("'"&amp;$F257&amp;"'!D3:D"),1,FALSE()), "Not found")</f>
        <v>Not found</v>
      </c>
      <c r="H257" s="89" t="n">
        <f aca="true">INDIRECT("'"&amp;$F257&amp;"'!D1")</f>
        <v>0</v>
      </c>
      <c r="I257" s="89" t="str">
        <f aca="false">IFERROR(__xludf.dummyfunction("REGEXEXTRACT(ADDRESS(ROW(), 19+$H257), ""[A-Z]+"")"),"S")</f>
        <v>S</v>
      </c>
      <c r="J257" s="89" t="str">
        <f aca="false">IFERROR(__xludf.dummyfunction("REGEXEXTRACT(ADDRESS(ROW(), 25+$H257), ""[A-Z]+"")"),"Y")</f>
        <v>Y</v>
      </c>
      <c r="K257" s="89" t="str">
        <f aca="false">IFERROR(__xludf.dummyfunction("REGEXEXTRACT(ADDRESS(ROW(), 27+$H257), ""[A-Z]+"")"),"AA")</f>
        <v>AA</v>
      </c>
      <c r="L257" s="89" t="str">
        <f aca="false">IFERROR(__xludf.dummyfunction("REGEXEXTRACT(ADDRESS(ROW(), 28+$H257), ""[A-Z]+"")"),"AB")</f>
        <v>AB</v>
      </c>
      <c r="M257" s="89" t="str">
        <f aca="false">IFERROR(__xludf.dummyfunction("REGEXEXTRACT(ADDRESS(ROW(), 34+$H257), ""[A-Z]+"")"),"AH")</f>
        <v>AH</v>
      </c>
      <c r="N257" s="89" t="str">
        <f aca="false">IFERROR(__xludf.dummyfunction("REGEXEXTRACT(ADDRESS(ROW(), 37+$H257), ""[A-Z]+"")"),"AK")</f>
        <v>AK</v>
      </c>
      <c r="O257" s="89" t="str">
        <f aca="false">IFERROR(__xludf.dummyfunction("REGEXEXTRACT(ADDRESS(ROW(), 38+$H257), ""[A-Z]+"")"),"AL")</f>
        <v>AL</v>
      </c>
      <c r="P257" s="89" t="str">
        <f aca="false">IFERROR(__xludf.dummyfunction("REGEXEXTRACT(ADDRESS(ROW(), 39+$H257), ""[A-Z]+"")"),"AM")</f>
        <v>AM</v>
      </c>
      <c r="Q257" s="89" t="str">
        <f aca="false">IFERROR(__xludf.dummyfunction("REGEXEXTRACT(ADDRESS(ROW(), 40+$H257), ""[A-Z]+"")"),"AN")</f>
        <v>AN</v>
      </c>
      <c r="R257" s="89" t="n">
        <f aca="false">IFERROR(__xludf.dummyfunction("IFERROR(QUERY(INDIRECT(""'""&amp;$F257&amp;""'!C3:""&amp;Q257&amp;""""), ""SELECT ""&amp;I257&amp;"", ""&amp;J257&amp;"", ""&amp;K257&amp;"", ""&amp;L257&amp;"", ""&amp;M257&amp;"", ""&amp;N257&amp;"", ""&amp;O257&amp;"", ""&amp;P257&amp;"" WHERE '""&amp;B257&amp;""' CONTAINS D"", 0), """")"),16)</f>
        <v>16</v>
      </c>
      <c r="S257" s="89" t="n">
        <f aca="false">IFERROR(__xludf.dummyfunction("""COMPUTED_VALUE"""),15)</f>
        <v>15</v>
      </c>
      <c r="T257" s="89"/>
      <c r="U257" s="89"/>
      <c r="V257" s="89" t="n">
        <f aca="false">IFERROR(__xludf.dummyfunction("""COMPUTED_VALUE"""),6)</f>
        <v>6</v>
      </c>
      <c r="W257" s="89"/>
      <c r="X257" s="89" t="n">
        <f aca="false">IFERROR(__xludf.dummyfunction("""COMPUTED_VALUE"""),30)</f>
        <v>30</v>
      </c>
      <c r="Y257" s="89" t="n">
        <f aca="false">IFERROR(__xludf.dummyfunction("""COMPUTED_VALUE"""),67)</f>
        <v>67</v>
      </c>
    </row>
    <row r="258" customFormat="false" ht="17.9" hidden="false" customHeight="false" outlineLevel="0" collapsed="false">
      <c r="A258" s="85" t="n">
        <v>257</v>
      </c>
      <c r="B258" s="85" t="n">
        <v>467139</v>
      </c>
      <c r="C258" s="86" t="s">
        <v>358</v>
      </c>
      <c r="D258" s="87" t="s">
        <v>102</v>
      </c>
      <c r="E258" s="88" t="str">
        <f aca="false">D258</f>
        <v>P3110</v>
      </c>
      <c r="F258" s="88" t="str">
        <f aca="false">REPLACE(E258, 1, 3, "")</f>
        <v>10</v>
      </c>
      <c r="G258" s="89" t="str">
        <f aca="true">IFERROR(VLOOKUP(B258,INDIRECT("'"&amp;$F258&amp;"'!D3:D"),1,FALSE()), "Not found")</f>
        <v>Not found</v>
      </c>
      <c r="H258" s="89" t="n">
        <f aca="true">INDIRECT("'"&amp;$F258&amp;"'!D1")</f>
        <v>0</v>
      </c>
      <c r="I258" s="89" t="str">
        <f aca="false">IFERROR(__xludf.dummyfunction("REGEXEXTRACT(ADDRESS(ROW(), 19+$H258), ""[A-Z]+"")"),"S")</f>
        <v>S</v>
      </c>
      <c r="J258" s="89" t="str">
        <f aca="false">IFERROR(__xludf.dummyfunction("REGEXEXTRACT(ADDRESS(ROW(), 25+$H258), ""[A-Z]+"")"),"Y")</f>
        <v>Y</v>
      </c>
      <c r="K258" s="89" t="str">
        <f aca="false">IFERROR(__xludf.dummyfunction("REGEXEXTRACT(ADDRESS(ROW(), 27+$H258), ""[A-Z]+"")"),"AA")</f>
        <v>AA</v>
      </c>
      <c r="L258" s="89" t="str">
        <f aca="false">IFERROR(__xludf.dummyfunction("REGEXEXTRACT(ADDRESS(ROW(), 28+$H258), ""[A-Z]+"")"),"AB")</f>
        <v>AB</v>
      </c>
      <c r="M258" s="89" t="str">
        <f aca="false">IFERROR(__xludf.dummyfunction("REGEXEXTRACT(ADDRESS(ROW(), 34+$H258), ""[A-Z]+"")"),"AH")</f>
        <v>AH</v>
      </c>
      <c r="N258" s="89" t="str">
        <f aca="false">IFERROR(__xludf.dummyfunction("REGEXEXTRACT(ADDRESS(ROW(), 37+$H258), ""[A-Z]+"")"),"AK")</f>
        <v>AK</v>
      </c>
      <c r="O258" s="89" t="str">
        <f aca="false">IFERROR(__xludf.dummyfunction("REGEXEXTRACT(ADDRESS(ROW(), 38+$H258), ""[A-Z]+"")"),"AL")</f>
        <v>AL</v>
      </c>
      <c r="P258" s="89" t="str">
        <f aca="false">IFERROR(__xludf.dummyfunction("REGEXEXTRACT(ADDRESS(ROW(), 39+$H258), ""[A-Z]+"")"),"AM")</f>
        <v>AM</v>
      </c>
      <c r="Q258" s="89" t="str">
        <f aca="false">IFERROR(__xludf.dummyfunction("REGEXEXTRACT(ADDRESS(ROW(), 40+$H258), ""[A-Z]+"")"),"AN")</f>
        <v>AN</v>
      </c>
      <c r="R258" s="89" t="n">
        <f aca="false">IFERROR(__xludf.dummyfunction("IFERROR(QUERY(INDIRECT(""'""&amp;$F258&amp;""'!C3:""&amp;Q258&amp;""""), ""SELECT ""&amp;I258&amp;"", ""&amp;J258&amp;"", ""&amp;K258&amp;"", ""&amp;L258&amp;"", ""&amp;M258&amp;"", ""&amp;N258&amp;"", ""&amp;O258&amp;"", ""&amp;P258&amp;"" WHERE '""&amp;B258&amp;""' CONTAINS D"", 0), """")"),17)</f>
        <v>17</v>
      </c>
      <c r="S258" s="89" t="n">
        <f aca="false">IFERROR(__xludf.dummyfunction("""COMPUTED_VALUE"""),17)</f>
        <v>17</v>
      </c>
      <c r="T258" s="89"/>
      <c r="U258" s="89"/>
      <c r="V258" s="89" t="n">
        <f aca="false">IFERROR(__xludf.dummyfunction("""COMPUTED_VALUE"""),9)</f>
        <v>9</v>
      </c>
      <c r="W258" s="89"/>
      <c r="X258" s="89" t="n">
        <f aca="false">IFERROR(__xludf.dummyfunction("""COMPUTED_VALUE"""),40)</f>
        <v>40</v>
      </c>
      <c r="Y258" s="89" t="n">
        <f aca="false">IFERROR(__xludf.dummyfunction("""COMPUTED_VALUE"""),83)</f>
        <v>83</v>
      </c>
    </row>
    <row r="259" customFormat="false" ht="17.9" hidden="false" customHeight="false" outlineLevel="0" collapsed="false">
      <c r="A259" s="85" t="n">
        <v>258</v>
      </c>
      <c r="B259" s="85" t="n">
        <v>467141</v>
      </c>
      <c r="C259" s="86" t="s">
        <v>359</v>
      </c>
      <c r="D259" s="87" t="s">
        <v>83</v>
      </c>
      <c r="E259" s="88" t="str">
        <f aca="false">D259</f>
        <v>P3109</v>
      </c>
      <c r="F259" s="88" t="str">
        <f aca="false">REPLACE(E259, 1, 3, "")</f>
        <v>09</v>
      </c>
      <c r="G259" s="89" t="str">
        <f aca="true">IFERROR(VLOOKUP(B259,INDIRECT("'"&amp;$F259&amp;"'!D3:D"),1,FALSE()), "Not found")</f>
        <v>Not found</v>
      </c>
      <c r="H259" s="89" t="n">
        <f aca="true">INDIRECT("'"&amp;$F259&amp;"'!D1")</f>
        <v>0</v>
      </c>
      <c r="I259" s="89" t="str">
        <f aca="false">IFERROR(__xludf.dummyfunction("REGEXEXTRACT(ADDRESS(ROW(), 19+$H259), ""[A-Z]+"")"),"S")</f>
        <v>S</v>
      </c>
      <c r="J259" s="89" t="str">
        <f aca="false">IFERROR(__xludf.dummyfunction("REGEXEXTRACT(ADDRESS(ROW(), 25+$H259), ""[A-Z]+"")"),"Y")</f>
        <v>Y</v>
      </c>
      <c r="K259" s="89" t="str">
        <f aca="false">IFERROR(__xludf.dummyfunction("REGEXEXTRACT(ADDRESS(ROW(), 27+$H259), ""[A-Z]+"")"),"AA")</f>
        <v>AA</v>
      </c>
      <c r="L259" s="89" t="str">
        <f aca="false">IFERROR(__xludf.dummyfunction("REGEXEXTRACT(ADDRESS(ROW(), 28+$H259), ""[A-Z]+"")"),"AB")</f>
        <v>AB</v>
      </c>
      <c r="M259" s="89" t="str">
        <f aca="false">IFERROR(__xludf.dummyfunction("REGEXEXTRACT(ADDRESS(ROW(), 34+$H259), ""[A-Z]+"")"),"AH")</f>
        <v>AH</v>
      </c>
      <c r="N259" s="89" t="str">
        <f aca="false">IFERROR(__xludf.dummyfunction("REGEXEXTRACT(ADDRESS(ROW(), 37+$H259), ""[A-Z]+"")"),"AK")</f>
        <v>AK</v>
      </c>
      <c r="O259" s="89" t="str">
        <f aca="false">IFERROR(__xludf.dummyfunction("REGEXEXTRACT(ADDRESS(ROW(), 38+$H259), ""[A-Z]+"")"),"AL")</f>
        <v>AL</v>
      </c>
      <c r="P259" s="89" t="str">
        <f aca="false">IFERROR(__xludf.dummyfunction("REGEXEXTRACT(ADDRESS(ROW(), 39+$H259), ""[A-Z]+"")"),"AM")</f>
        <v>AM</v>
      </c>
      <c r="Q259" s="89" t="str">
        <f aca="false">IFERROR(__xludf.dummyfunction("REGEXEXTRACT(ADDRESS(ROW(), 40+$H259), ""[A-Z]+"")"),"AN")</f>
        <v>AN</v>
      </c>
      <c r="R259" s="89" t="n">
        <f aca="false">IFERROR(__xludf.dummyfunction("IFERROR(QUERY(INDIRECT(""'""&amp;$F259&amp;""'!C3:""&amp;Q259&amp;""""), ""SELECT ""&amp;I259&amp;"", ""&amp;J259&amp;"", ""&amp;K259&amp;"", ""&amp;L259&amp;"", ""&amp;M259&amp;"", ""&amp;N259&amp;"", ""&amp;O259&amp;"", ""&amp;P259&amp;"" WHERE '""&amp;B259&amp;""' CONTAINS D"", 0), """")"),18)</f>
        <v>18</v>
      </c>
      <c r="S259" s="89" t="n">
        <f aca="false">IFERROR(__xludf.dummyfunction("""COMPUTED_VALUE"""),17)</f>
        <v>17</v>
      </c>
      <c r="T259" s="89"/>
      <c r="U259" s="89"/>
      <c r="V259" s="89" t="n">
        <f aca="false">IFERROR(__xludf.dummyfunction("""COMPUTED_VALUE"""),8)</f>
        <v>8</v>
      </c>
      <c r="W259" s="89"/>
      <c r="X259" s="89" t="n">
        <f aca="false">IFERROR(__xludf.dummyfunction("""COMPUTED_VALUE"""),38)</f>
        <v>38</v>
      </c>
      <c r="Y259" s="89" t="n">
        <f aca="false">IFERROR(__xludf.dummyfunction("""COMPUTED_VALUE"""),81)</f>
        <v>81</v>
      </c>
    </row>
    <row r="260" customFormat="false" ht="17.9" hidden="false" customHeight="false" outlineLevel="0" collapsed="false">
      <c r="A260" s="85" t="n">
        <v>259</v>
      </c>
      <c r="B260" s="85" t="n">
        <v>467144</v>
      </c>
      <c r="C260" s="86" t="s">
        <v>360</v>
      </c>
      <c r="D260" s="87" t="s">
        <v>119</v>
      </c>
      <c r="E260" s="88" t="str">
        <f aca="false">D260</f>
        <v>P3121</v>
      </c>
      <c r="F260" s="88" t="str">
        <f aca="false">REPLACE(E260, 1, 3, "")</f>
        <v>21</v>
      </c>
      <c r="G260" s="89" t="str">
        <f aca="true">IFERROR(VLOOKUP(B260,INDIRECT("'"&amp;$F260&amp;"'!D3:D"),1,FALSE()), "Not found")</f>
        <v>Not found</v>
      </c>
      <c r="H260" s="89" t="n">
        <f aca="true">INDIRECT("'"&amp;$F260&amp;"'!D1")</f>
        <v>5</v>
      </c>
      <c r="I260" s="89" t="str">
        <f aca="false">IFERROR(__xludf.dummyfunction("REGEXEXTRACT(ADDRESS(ROW(), 19+$H260), ""[A-Z]+"")"),"X")</f>
        <v>X</v>
      </c>
      <c r="J260" s="89" t="str">
        <f aca="false">IFERROR(__xludf.dummyfunction("REGEXEXTRACT(ADDRESS(ROW(), 25+$H260), ""[A-Z]+"")"),"AD")</f>
        <v>AD</v>
      </c>
      <c r="K260" s="89" t="str">
        <f aca="false">IFERROR(__xludf.dummyfunction("REGEXEXTRACT(ADDRESS(ROW(), 27+$H260), ""[A-Z]+"")"),"AF")</f>
        <v>AF</v>
      </c>
      <c r="L260" s="89" t="str">
        <f aca="false">IFERROR(__xludf.dummyfunction("REGEXEXTRACT(ADDRESS(ROW(), 28+$H260), ""[A-Z]+"")"),"AG")</f>
        <v>AG</v>
      </c>
      <c r="M260" s="89" t="str">
        <f aca="false">IFERROR(__xludf.dummyfunction("REGEXEXTRACT(ADDRESS(ROW(), 34+$H260), ""[A-Z]+"")"),"AM")</f>
        <v>AM</v>
      </c>
      <c r="N260" s="89" t="str">
        <f aca="false">IFERROR(__xludf.dummyfunction("REGEXEXTRACT(ADDRESS(ROW(), 37+$H260), ""[A-Z]+"")"),"AP")</f>
        <v>AP</v>
      </c>
      <c r="O260" s="89" t="str">
        <f aca="false">IFERROR(__xludf.dummyfunction("REGEXEXTRACT(ADDRESS(ROW(), 38+$H260), ""[A-Z]+"")"),"AQ")</f>
        <v>AQ</v>
      </c>
      <c r="P260" s="89" t="str">
        <f aca="false">IFERROR(__xludf.dummyfunction("REGEXEXTRACT(ADDRESS(ROW(), 39+$H260), ""[A-Z]+"")"),"AR")</f>
        <v>AR</v>
      </c>
      <c r="Q260" s="89" t="str">
        <f aca="false">IFERROR(__xludf.dummyfunction("REGEXEXTRACT(ADDRESS(ROW(), 40+$H260), ""[A-Z]+"")"),"AS")</f>
        <v>AS</v>
      </c>
      <c r="R260" s="89" t="n">
        <f aca="false">IFERROR(__xludf.dummyfunction("IFERROR(QUERY(INDIRECT(""'""&amp;$F260&amp;""'!C3:""&amp;Q260&amp;""""), ""SELECT ""&amp;I260&amp;"", ""&amp;J260&amp;"", ""&amp;K260&amp;"", ""&amp;L260&amp;"", ""&amp;M260&amp;"", ""&amp;N260&amp;"", ""&amp;O260&amp;"", ""&amp;P260&amp;"" WHERE '""&amp;B260&amp;""' CONTAINS D"", 0), """")"),16)</f>
        <v>16</v>
      </c>
      <c r="S260" s="89" t="n">
        <f aca="false">IFERROR(__xludf.dummyfunction("""COMPUTED_VALUE"""),12)</f>
        <v>12</v>
      </c>
      <c r="T260" s="89"/>
      <c r="U260" s="89"/>
      <c r="V260" s="89" t="n">
        <f aca="false">IFERROR(__xludf.dummyfunction("""COMPUTED_VALUE"""),6)</f>
        <v>6</v>
      </c>
      <c r="W260" s="89"/>
      <c r="X260" s="89" t="n">
        <f aca="false">IFERROR(__xludf.dummyfunction("""COMPUTED_VALUE"""),30)</f>
        <v>30</v>
      </c>
      <c r="Y260" s="89" t="n">
        <f aca="false">IFERROR(__xludf.dummyfunction("""COMPUTED_VALUE"""),64)</f>
        <v>64</v>
      </c>
    </row>
    <row r="261" customFormat="false" ht="17.9" hidden="false" customHeight="false" outlineLevel="0" collapsed="false">
      <c r="A261" s="85" t="n">
        <v>260</v>
      </c>
      <c r="B261" s="85" t="n">
        <v>472374</v>
      </c>
      <c r="C261" s="86" t="s">
        <v>361</v>
      </c>
      <c r="D261" s="87" t="s">
        <v>119</v>
      </c>
      <c r="E261" s="88" t="str">
        <f aca="false">D261</f>
        <v>P3121</v>
      </c>
      <c r="F261" s="88" t="str">
        <f aca="false">REPLACE(E261, 1, 3, "")</f>
        <v>21</v>
      </c>
      <c r="G261" s="89" t="str">
        <f aca="true">IFERROR(VLOOKUP(B261,INDIRECT("'"&amp;$F261&amp;"'!D3:D"),1,FALSE()), "Not found")</f>
        <v>Not found</v>
      </c>
      <c r="H261" s="89" t="n">
        <f aca="true">INDIRECT("'"&amp;$F261&amp;"'!D1")</f>
        <v>5</v>
      </c>
      <c r="I261" s="89" t="str">
        <f aca="false">IFERROR(__xludf.dummyfunction("REGEXEXTRACT(ADDRESS(ROW(), 19+$H261), ""[A-Z]+"")"),"X")</f>
        <v>X</v>
      </c>
      <c r="J261" s="89" t="str">
        <f aca="false">IFERROR(__xludf.dummyfunction("REGEXEXTRACT(ADDRESS(ROW(), 25+$H261), ""[A-Z]+"")"),"AD")</f>
        <v>AD</v>
      </c>
      <c r="K261" s="89" t="str">
        <f aca="false">IFERROR(__xludf.dummyfunction("REGEXEXTRACT(ADDRESS(ROW(), 27+$H261), ""[A-Z]+"")"),"AF")</f>
        <v>AF</v>
      </c>
      <c r="L261" s="89" t="str">
        <f aca="false">IFERROR(__xludf.dummyfunction("REGEXEXTRACT(ADDRESS(ROW(), 28+$H261), ""[A-Z]+"")"),"AG")</f>
        <v>AG</v>
      </c>
      <c r="M261" s="89" t="str">
        <f aca="false">IFERROR(__xludf.dummyfunction("REGEXEXTRACT(ADDRESS(ROW(), 34+$H261), ""[A-Z]+"")"),"AM")</f>
        <v>AM</v>
      </c>
      <c r="N261" s="89" t="str">
        <f aca="false">IFERROR(__xludf.dummyfunction("REGEXEXTRACT(ADDRESS(ROW(), 37+$H261), ""[A-Z]+"")"),"AP")</f>
        <v>AP</v>
      </c>
      <c r="O261" s="89" t="str">
        <f aca="false">IFERROR(__xludf.dummyfunction("REGEXEXTRACT(ADDRESS(ROW(), 38+$H261), ""[A-Z]+"")"),"AQ")</f>
        <v>AQ</v>
      </c>
      <c r="P261" s="89" t="str">
        <f aca="false">IFERROR(__xludf.dummyfunction("REGEXEXTRACT(ADDRESS(ROW(), 39+$H261), ""[A-Z]+"")"),"AR")</f>
        <v>AR</v>
      </c>
      <c r="Q261" s="89" t="str">
        <f aca="false">IFERROR(__xludf.dummyfunction("REGEXEXTRACT(ADDRESS(ROW(), 40+$H261), ""[A-Z]+"")"),"AS")</f>
        <v>AS</v>
      </c>
      <c r="R261" s="89" t="n">
        <f aca="false">IFERROR(__xludf.dummyfunction("IFERROR(QUERY(INDIRECT(""'""&amp;$F261&amp;""'!C3:""&amp;Q261&amp;""""), ""SELECT ""&amp;I261&amp;"", ""&amp;J261&amp;"", ""&amp;K261&amp;"", ""&amp;L261&amp;"", ""&amp;M261&amp;"", ""&amp;N261&amp;"", ""&amp;O261&amp;"", ""&amp;P261&amp;"" WHERE '""&amp;B261&amp;""' CONTAINS D"", 0), """")"),17)</f>
        <v>17</v>
      </c>
      <c r="S261" s="89" t="n">
        <f aca="false">IFERROR(__xludf.dummyfunction("""COMPUTED_VALUE"""),17)</f>
        <v>17</v>
      </c>
      <c r="T261" s="89"/>
      <c r="U261" s="89"/>
      <c r="V261" s="89" t="n">
        <f aca="false">IFERROR(__xludf.dummyfunction("""COMPUTED_VALUE"""),6)</f>
        <v>6</v>
      </c>
      <c r="W261" s="89"/>
      <c r="X261" s="89" t="n">
        <f aca="false">IFERROR(__xludf.dummyfunction("""COMPUTED_VALUE"""),40)</f>
        <v>40</v>
      </c>
      <c r="Y261" s="89" t="n">
        <f aca="false">IFERROR(__xludf.dummyfunction("""COMPUTED_VALUE"""),80)</f>
        <v>80</v>
      </c>
    </row>
    <row r="262" customFormat="false" ht="17.9" hidden="false" customHeight="false" outlineLevel="0" collapsed="false">
      <c r="A262" s="85" t="n">
        <v>261</v>
      </c>
      <c r="B262" s="85" t="n">
        <v>467157</v>
      </c>
      <c r="C262" s="86" t="s">
        <v>362</v>
      </c>
      <c r="D262" s="87" t="s">
        <v>81</v>
      </c>
      <c r="E262" s="88" t="str">
        <f aca="false">D262</f>
        <v>P3108</v>
      </c>
      <c r="F262" s="88" t="str">
        <f aca="false">REPLACE(E262, 1, 3, "")</f>
        <v>08</v>
      </c>
      <c r="G262" s="89" t="str">
        <f aca="true">IFERROR(VLOOKUP(B262,INDIRECT("'"&amp;$F262&amp;"'!D3:D"),1,FALSE()), "Not found")</f>
        <v>Not found</v>
      </c>
      <c r="H262" s="89" t="n">
        <f aca="true">INDIRECT("'"&amp;$F262&amp;"'!D1")</f>
        <v>0</v>
      </c>
      <c r="I262" s="89" t="str">
        <f aca="false">IFERROR(__xludf.dummyfunction("REGEXEXTRACT(ADDRESS(ROW(), 19+$H262), ""[A-Z]+"")"),"S")</f>
        <v>S</v>
      </c>
      <c r="J262" s="89" t="str">
        <f aca="false">IFERROR(__xludf.dummyfunction("REGEXEXTRACT(ADDRESS(ROW(), 25+$H262), ""[A-Z]+"")"),"Y")</f>
        <v>Y</v>
      </c>
      <c r="K262" s="89" t="str">
        <f aca="false">IFERROR(__xludf.dummyfunction("REGEXEXTRACT(ADDRESS(ROW(), 27+$H262), ""[A-Z]+"")"),"AA")</f>
        <v>AA</v>
      </c>
      <c r="L262" s="89" t="str">
        <f aca="false">IFERROR(__xludf.dummyfunction("REGEXEXTRACT(ADDRESS(ROW(), 28+$H262), ""[A-Z]+"")"),"AB")</f>
        <v>AB</v>
      </c>
      <c r="M262" s="89" t="str">
        <f aca="false">IFERROR(__xludf.dummyfunction("REGEXEXTRACT(ADDRESS(ROW(), 34+$H262), ""[A-Z]+"")"),"AH")</f>
        <v>AH</v>
      </c>
      <c r="N262" s="89" t="str">
        <f aca="false">IFERROR(__xludf.dummyfunction("REGEXEXTRACT(ADDRESS(ROW(), 37+$H262), ""[A-Z]+"")"),"AK")</f>
        <v>AK</v>
      </c>
      <c r="O262" s="89" t="str">
        <f aca="false">IFERROR(__xludf.dummyfunction("REGEXEXTRACT(ADDRESS(ROW(), 38+$H262), ""[A-Z]+"")"),"AL")</f>
        <v>AL</v>
      </c>
      <c r="P262" s="89" t="str">
        <f aca="false">IFERROR(__xludf.dummyfunction("REGEXEXTRACT(ADDRESS(ROW(), 39+$H262), ""[A-Z]+"")"),"AM")</f>
        <v>AM</v>
      </c>
      <c r="Q262" s="89" t="str">
        <f aca="false">IFERROR(__xludf.dummyfunction("REGEXEXTRACT(ADDRESS(ROW(), 40+$H262), ""[A-Z]+"")"),"AN")</f>
        <v>AN</v>
      </c>
      <c r="R262" s="89" t="n">
        <f aca="false">IFERROR(__xludf.dummyfunction("IFERROR(QUERY(INDIRECT(""'""&amp;$F262&amp;""'!C3:""&amp;Q262&amp;""""), ""SELECT ""&amp;I262&amp;"", ""&amp;J262&amp;"", ""&amp;K262&amp;"", ""&amp;L262&amp;"", ""&amp;M262&amp;"", ""&amp;N262&amp;"", ""&amp;O262&amp;"", ""&amp;P262&amp;"" WHERE '""&amp;B262&amp;""' CONTAINS D"", 0), """")"),20)</f>
        <v>20</v>
      </c>
      <c r="S262" s="89" t="n">
        <f aca="false">IFERROR(__xludf.dummyfunction("""COMPUTED_VALUE"""),20)</f>
        <v>20</v>
      </c>
      <c r="T262" s="89"/>
      <c r="U262" s="89"/>
      <c r="V262" s="89" t="n">
        <f aca="false">IFERROR(__xludf.dummyfunction("""COMPUTED_VALUE"""),8)</f>
        <v>8</v>
      </c>
      <c r="W262" s="89"/>
      <c r="X262" s="89" t="n">
        <f aca="false">IFERROR(__xludf.dummyfunction("""COMPUTED_VALUE"""),40)</f>
        <v>40</v>
      </c>
      <c r="Y262" s="89" t="n">
        <f aca="false">IFERROR(__xludf.dummyfunction("""COMPUTED_VALUE"""),88)</f>
        <v>88</v>
      </c>
    </row>
    <row r="263" customFormat="false" ht="17.9" hidden="false" customHeight="false" outlineLevel="0" collapsed="false">
      <c r="A263" s="85" t="n">
        <v>262</v>
      </c>
      <c r="B263" s="85" t="n">
        <v>467182</v>
      </c>
      <c r="C263" s="86" t="s">
        <v>363</v>
      </c>
      <c r="D263" s="87" t="s">
        <v>183</v>
      </c>
      <c r="E263" s="88" t="str">
        <f aca="false">D263</f>
        <v>P3107</v>
      </c>
      <c r="F263" s="88" t="str">
        <f aca="false">REPLACE(E263, 1, 3, "")</f>
        <v>07</v>
      </c>
      <c r="G263" s="89" t="str">
        <f aca="true">IFERROR(VLOOKUP(B263,INDIRECT("'"&amp;$F263&amp;"'!D3:D"),1,FALSE()), "Not found")</f>
        <v>Not found</v>
      </c>
      <c r="H263" s="89" t="n">
        <f aca="true">INDIRECT("'"&amp;$F263&amp;"'!D1")</f>
        <v>0</v>
      </c>
      <c r="I263" s="89" t="str">
        <f aca="false">IFERROR(__xludf.dummyfunction("REGEXEXTRACT(ADDRESS(ROW(), 19+$H263), ""[A-Z]+"")"),"S")</f>
        <v>S</v>
      </c>
      <c r="J263" s="89" t="str">
        <f aca="false">IFERROR(__xludf.dummyfunction("REGEXEXTRACT(ADDRESS(ROW(), 25+$H263), ""[A-Z]+"")"),"Y")</f>
        <v>Y</v>
      </c>
      <c r="K263" s="89" t="str">
        <f aca="false">IFERROR(__xludf.dummyfunction("REGEXEXTRACT(ADDRESS(ROW(), 27+$H263), ""[A-Z]+"")"),"AA")</f>
        <v>AA</v>
      </c>
      <c r="L263" s="89" t="str">
        <f aca="false">IFERROR(__xludf.dummyfunction("REGEXEXTRACT(ADDRESS(ROW(), 28+$H263), ""[A-Z]+"")"),"AB")</f>
        <v>AB</v>
      </c>
      <c r="M263" s="89" t="str">
        <f aca="false">IFERROR(__xludf.dummyfunction("REGEXEXTRACT(ADDRESS(ROW(), 34+$H263), ""[A-Z]+"")"),"AH")</f>
        <v>AH</v>
      </c>
      <c r="N263" s="89" t="str">
        <f aca="false">IFERROR(__xludf.dummyfunction("REGEXEXTRACT(ADDRESS(ROW(), 37+$H263), ""[A-Z]+"")"),"AK")</f>
        <v>AK</v>
      </c>
      <c r="O263" s="89" t="str">
        <f aca="false">IFERROR(__xludf.dummyfunction("REGEXEXTRACT(ADDRESS(ROW(), 38+$H263), ""[A-Z]+"")"),"AL")</f>
        <v>AL</v>
      </c>
      <c r="P263" s="89" t="str">
        <f aca="false">IFERROR(__xludf.dummyfunction("REGEXEXTRACT(ADDRESS(ROW(), 39+$H263), ""[A-Z]+"")"),"AM")</f>
        <v>AM</v>
      </c>
      <c r="Q263" s="89" t="str">
        <f aca="false">IFERROR(__xludf.dummyfunction("REGEXEXTRACT(ADDRESS(ROW(), 40+$H263), ""[A-Z]+"")"),"AN")</f>
        <v>AN</v>
      </c>
      <c r="R263" s="89" t="n">
        <f aca="false">IFERROR(__xludf.dummyfunction("IFERROR(QUERY(INDIRECT(""'""&amp;$F263&amp;""'!C3:""&amp;Q263&amp;""""), ""SELECT ""&amp;I263&amp;"", ""&amp;J263&amp;"", ""&amp;K263&amp;"", ""&amp;L263&amp;"", ""&amp;M263&amp;"", ""&amp;N263&amp;"", ""&amp;O263&amp;"", ""&amp;P263&amp;"" WHERE '""&amp;B263&amp;""' CONTAINS D"", 0), """")"),18)</f>
        <v>18</v>
      </c>
      <c r="S263" s="89" t="n">
        <f aca="false">IFERROR(__xludf.dummyfunction("""COMPUTED_VALUE"""),19)</f>
        <v>19</v>
      </c>
      <c r="T263" s="89"/>
      <c r="U263" s="89"/>
      <c r="V263" s="89" t="n">
        <f aca="false">IFERROR(__xludf.dummyfunction("""COMPUTED_VALUE"""),10)</f>
        <v>10</v>
      </c>
      <c r="W263" s="89"/>
      <c r="X263" s="89" t="n">
        <f aca="false">IFERROR(__xludf.dummyfunction("""COMPUTED_VALUE"""),40)</f>
        <v>40</v>
      </c>
      <c r="Y263" s="89" t="n">
        <f aca="false">IFERROR(__xludf.dummyfunction("""COMPUTED_VALUE"""),87)</f>
        <v>87</v>
      </c>
    </row>
    <row r="264" customFormat="false" ht="17.9" hidden="false" customHeight="false" outlineLevel="0" collapsed="false">
      <c r="A264" s="85" t="n">
        <v>263</v>
      </c>
      <c r="B264" s="85" t="n">
        <v>467185</v>
      </c>
      <c r="C264" s="86" t="s">
        <v>364</v>
      </c>
      <c r="D264" s="87" t="s">
        <v>121</v>
      </c>
      <c r="E264" s="88" t="str">
        <f aca="false">D264</f>
        <v>P3120</v>
      </c>
      <c r="F264" s="88" t="str">
        <f aca="false">REPLACE(E264, 1, 3, "")</f>
        <v>20</v>
      </c>
      <c r="G264" s="89" t="str">
        <f aca="true">IFERROR(VLOOKUP(B264,INDIRECT("'"&amp;$F264&amp;"'!D3:D"),1,FALSE()), "Not found")</f>
        <v>Not found</v>
      </c>
      <c r="H264" s="89" t="n">
        <f aca="true">INDIRECT("'"&amp;$F264&amp;"'!D1")</f>
        <v>5</v>
      </c>
      <c r="I264" s="89" t="str">
        <f aca="false">IFERROR(__xludf.dummyfunction("REGEXEXTRACT(ADDRESS(ROW(), 19+$H264), ""[A-Z]+"")"),"X")</f>
        <v>X</v>
      </c>
      <c r="J264" s="89" t="str">
        <f aca="false">IFERROR(__xludf.dummyfunction("REGEXEXTRACT(ADDRESS(ROW(), 25+$H264), ""[A-Z]+"")"),"AD")</f>
        <v>AD</v>
      </c>
      <c r="K264" s="89" t="str">
        <f aca="false">IFERROR(__xludf.dummyfunction("REGEXEXTRACT(ADDRESS(ROW(), 27+$H264), ""[A-Z]+"")"),"AF")</f>
        <v>AF</v>
      </c>
      <c r="L264" s="89" t="str">
        <f aca="false">IFERROR(__xludf.dummyfunction("REGEXEXTRACT(ADDRESS(ROW(), 28+$H264), ""[A-Z]+"")"),"AG")</f>
        <v>AG</v>
      </c>
      <c r="M264" s="89" t="str">
        <f aca="false">IFERROR(__xludf.dummyfunction("REGEXEXTRACT(ADDRESS(ROW(), 34+$H264), ""[A-Z]+"")"),"AM")</f>
        <v>AM</v>
      </c>
      <c r="N264" s="89" t="str">
        <f aca="false">IFERROR(__xludf.dummyfunction("REGEXEXTRACT(ADDRESS(ROW(), 37+$H264), ""[A-Z]+"")"),"AP")</f>
        <v>AP</v>
      </c>
      <c r="O264" s="89" t="str">
        <f aca="false">IFERROR(__xludf.dummyfunction("REGEXEXTRACT(ADDRESS(ROW(), 38+$H264), ""[A-Z]+"")"),"AQ")</f>
        <v>AQ</v>
      </c>
      <c r="P264" s="89" t="str">
        <f aca="false">IFERROR(__xludf.dummyfunction("REGEXEXTRACT(ADDRESS(ROW(), 39+$H264), ""[A-Z]+"")"),"AR")</f>
        <v>AR</v>
      </c>
      <c r="Q264" s="89" t="str">
        <f aca="false">IFERROR(__xludf.dummyfunction("REGEXEXTRACT(ADDRESS(ROW(), 40+$H264), ""[A-Z]+"")"),"AS")</f>
        <v>AS</v>
      </c>
      <c r="R264" s="89" t="n">
        <f aca="false">IFERROR(__xludf.dummyfunction("IFERROR(QUERY(INDIRECT(""'""&amp;$F264&amp;""'!C3:""&amp;Q264&amp;""""), ""SELECT ""&amp;I264&amp;"", ""&amp;J264&amp;"", ""&amp;K264&amp;"", ""&amp;L264&amp;"", ""&amp;M264&amp;"", ""&amp;N264&amp;"", ""&amp;O264&amp;"", ""&amp;P264&amp;"" WHERE '""&amp;B264&amp;""' CONTAINS D"", 0), """")"),17)</f>
        <v>17</v>
      </c>
      <c r="S264" s="89" t="n">
        <f aca="false">IFERROR(__xludf.dummyfunction("""COMPUTED_VALUE"""),15)</f>
        <v>15</v>
      </c>
      <c r="T264" s="89"/>
      <c r="U264" s="89"/>
      <c r="V264" s="89" t="n">
        <f aca="false">IFERROR(__xludf.dummyfunction("""COMPUTED_VALUE"""),6)</f>
        <v>6</v>
      </c>
      <c r="W264" s="89"/>
      <c r="X264" s="89" t="n">
        <f aca="false">IFERROR(__xludf.dummyfunction("""COMPUTED_VALUE"""),24)</f>
        <v>24</v>
      </c>
      <c r="Y264" s="89" t="n">
        <f aca="false">IFERROR(__xludf.dummyfunction("""COMPUTED_VALUE"""),62)</f>
        <v>62</v>
      </c>
    </row>
    <row r="265" customFormat="false" ht="17.9" hidden="false" customHeight="false" outlineLevel="0" collapsed="false">
      <c r="A265" s="85" t="n">
        <v>264</v>
      </c>
      <c r="B265" s="85" t="n">
        <v>472391</v>
      </c>
      <c r="C265" s="86" t="s">
        <v>365</v>
      </c>
      <c r="D265" s="87" t="s">
        <v>87</v>
      </c>
      <c r="E265" s="88" t="str">
        <f aca="false">D265</f>
        <v>P3130</v>
      </c>
      <c r="F265" s="88" t="str">
        <f aca="false">REPLACE(E265, 1, 3, "")</f>
        <v>30</v>
      </c>
      <c r="G265" s="89" t="str">
        <f aca="true">IFERROR(VLOOKUP(B265,INDIRECT("'"&amp;$F265&amp;"'!D3:D"),1,FALSE()), "Not found")</f>
        <v>Not found</v>
      </c>
      <c r="H265" s="89" t="n">
        <f aca="true">INDIRECT("'"&amp;$F265&amp;"'!D1")</f>
        <v>0</v>
      </c>
      <c r="I265" s="89" t="str">
        <f aca="false">IFERROR(__xludf.dummyfunction("REGEXEXTRACT(ADDRESS(ROW(), 19+$H265), ""[A-Z]+"")"),"S")</f>
        <v>S</v>
      </c>
      <c r="J265" s="89" t="str">
        <f aca="false">IFERROR(__xludf.dummyfunction("REGEXEXTRACT(ADDRESS(ROW(), 25+$H265), ""[A-Z]+"")"),"Y")</f>
        <v>Y</v>
      </c>
      <c r="K265" s="89" t="str">
        <f aca="false">IFERROR(__xludf.dummyfunction("REGEXEXTRACT(ADDRESS(ROW(), 27+$H265), ""[A-Z]+"")"),"AA")</f>
        <v>AA</v>
      </c>
      <c r="L265" s="89" t="str">
        <f aca="false">IFERROR(__xludf.dummyfunction("REGEXEXTRACT(ADDRESS(ROW(), 28+$H265), ""[A-Z]+"")"),"AB")</f>
        <v>AB</v>
      </c>
      <c r="M265" s="89" t="str">
        <f aca="false">IFERROR(__xludf.dummyfunction("REGEXEXTRACT(ADDRESS(ROW(), 34+$H265), ""[A-Z]+"")"),"AH")</f>
        <v>AH</v>
      </c>
      <c r="N265" s="89" t="str">
        <f aca="false">IFERROR(__xludf.dummyfunction("REGEXEXTRACT(ADDRESS(ROW(), 37+$H265), ""[A-Z]+"")"),"AK")</f>
        <v>AK</v>
      </c>
      <c r="O265" s="89" t="str">
        <f aca="false">IFERROR(__xludf.dummyfunction("REGEXEXTRACT(ADDRESS(ROW(), 38+$H265), ""[A-Z]+"")"),"AL")</f>
        <v>AL</v>
      </c>
      <c r="P265" s="89" t="str">
        <f aca="false">IFERROR(__xludf.dummyfunction("REGEXEXTRACT(ADDRESS(ROW(), 39+$H265), ""[A-Z]+"")"),"AM")</f>
        <v>AM</v>
      </c>
      <c r="Q265" s="89" t="str">
        <f aca="false">IFERROR(__xludf.dummyfunction("REGEXEXTRACT(ADDRESS(ROW(), 40+$H265), ""[A-Z]+"")"),"AN")</f>
        <v>AN</v>
      </c>
      <c r="R265" s="89" t="n">
        <f aca="false">IFERROR(__xludf.dummyfunction("IFERROR(QUERY(INDIRECT(""'""&amp;$F265&amp;""'!C3:""&amp;Q265&amp;""""), ""SELECT ""&amp;I265&amp;"", ""&amp;J265&amp;"", ""&amp;K265&amp;"", ""&amp;L265&amp;"", ""&amp;M265&amp;"", ""&amp;N265&amp;"", ""&amp;O265&amp;"", ""&amp;P265&amp;"" WHERE '""&amp;B265&amp;""' CONTAINS D"", 0), """")"),17)</f>
        <v>17</v>
      </c>
      <c r="S265" s="89" t="n">
        <f aca="false">IFERROR(__xludf.dummyfunction("""COMPUTED_VALUE"""),18.5)</f>
        <v>18.5</v>
      </c>
      <c r="T265" s="89"/>
      <c r="U265" s="89"/>
      <c r="V265" s="89" t="n">
        <f aca="false">IFERROR(__xludf.dummyfunction("""COMPUTED_VALUE"""),7)</f>
        <v>7</v>
      </c>
      <c r="W265" s="89"/>
      <c r="X265" s="89" t="n">
        <f aca="false">IFERROR(__xludf.dummyfunction("""COMPUTED_VALUE"""),40)</f>
        <v>40</v>
      </c>
      <c r="Y265" s="89" t="n">
        <f aca="false">IFERROR(__xludf.dummyfunction("""COMPUTED_VALUE"""),82.5)</f>
        <v>82.5</v>
      </c>
    </row>
    <row r="266" customFormat="false" ht="17.9" hidden="false" customHeight="false" outlineLevel="0" collapsed="false">
      <c r="A266" s="85" t="n">
        <v>265</v>
      </c>
      <c r="B266" s="85" t="n">
        <v>467204</v>
      </c>
      <c r="C266" s="86" t="s">
        <v>366</v>
      </c>
      <c r="D266" s="87" t="s">
        <v>95</v>
      </c>
      <c r="E266" s="88" t="str">
        <f aca="false">D266</f>
        <v>P3106</v>
      </c>
      <c r="F266" s="88" t="str">
        <f aca="false">REPLACE(E266, 1, 3, "")</f>
        <v>06</v>
      </c>
      <c r="G266" s="89" t="str">
        <f aca="true">IFERROR(VLOOKUP(B266,INDIRECT("'"&amp;$F266&amp;"'!D3:D"),1,FALSE()), "Not found")</f>
        <v>Not found</v>
      </c>
      <c r="H266" s="89" t="n">
        <f aca="true">INDIRECT("'"&amp;$F266&amp;"'!D1")</f>
        <v>0</v>
      </c>
      <c r="I266" s="89" t="str">
        <f aca="false">IFERROR(__xludf.dummyfunction("REGEXEXTRACT(ADDRESS(ROW(), 19+$H266), ""[A-Z]+"")"),"S")</f>
        <v>S</v>
      </c>
      <c r="J266" s="89" t="str">
        <f aca="false">IFERROR(__xludf.dummyfunction("REGEXEXTRACT(ADDRESS(ROW(), 25+$H266), ""[A-Z]+"")"),"Y")</f>
        <v>Y</v>
      </c>
      <c r="K266" s="89" t="str">
        <f aca="false">IFERROR(__xludf.dummyfunction("REGEXEXTRACT(ADDRESS(ROW(), 27+$H266), ""[A-Z]+"")"),"AA")</f>
        <v>AA</v>
      </c>
      <c r="L266" s="89" t="str">
        <f aca="false">IFERROR(__xludf.dummyfunction("REGEXEXTRACT(ADDRESS(ROW(), 28+$H266), ""[A-Z]+"")"),"AB")</f>
        <v>AB</v>
      </c>
      <c r="M266" s="89" t="str">
        <f aca="false">IFERROR(__xludf.dummyfunction("REGEXEXTRACT(ADDRESS(ROW(), 34+$H266), ""[A-Z]+"")"),"AH")</f>
        <v>AH</v>
      </c>
      <c r="N266" s="89" t="str">
        <f aca="false">IFERROR(__xludf.dummyfunction("REGEXEXTRACT(ADDRESS(ROW(), 37+$H266), ""[A-Z]+"")"),"AK")</f>
        <v>AK</v>
      </c>
      <c r="O266" s="89" t="str">
        <f aca="false">IFERROR(__xludf.dummyfunction("REGEXEXTRACT(ADDRESS(ROW(), 38+$H266), ""[A-Z]+"")"),"AL")</f>
        <v>AL</v>
      </c>
      <c r="P266" s="89" t="str">
        <f aca="false">IFERROR(__xludf.dummyfunction("REGEXEXTRACT(ADDRESS(ROW(), 39+$H266), ""[A-Z]+"")"),"AM")</f>
        <v>AM</v>
      </c>
      <c r="Q266" s="89" t="str">
        <f aca="false">IFERROR(__xludf.dummyfunction("REGEXEXTRACT(ADDRESS(ROW(), 40+$H266), ""[A-Z]+"")"),"AN")</f>
        <v>AN</v>
      </c>
      <c r="R266" s="89" t="n">
        <f aca="false">IFERROR(__xludf.dummyfunction("IFERROR(QUERY(INDIRECT(""'""&amp;$F266&amp;""'!C3:""&amp;Q266&amp;""""), ""SELECT ""&amp;I266&amp;"", ""&amp;J266&amp;"", ""&amp;K266&amp;"", ""&amp;L266&amp;"", ""&amp;M266&amp;"", ""&amp;N266&amp;"", ""&amp;O266&amp;"", ""&amp;P266&amp;"" WHERE '""&amp;B266&amp;""' CONTAINS D"", 0), """")"),18)</f>
        <v>18</v>
      </c>
      <c r="S266" s="89" t="n">
        <f aca="false">IFERROR(__xludf.dummyfunction("""COMPUTED_VALUE"""),17)</f>
        <v>17</v>
      </c>
      <c r="T266" s="89"/>
      <c r="U266" s="89"/>
      <c r="V266" s="89" t="n">
        <f aca="false">IFERROR(__xludf.dummyfunction("""COMPUTED_VALUE"""),10)</f>
        <v>10</v>
      </c>
      <c r="W266" s="89" t="n">
        <f aca="false">IFERROR(__xludf.dummyfunction("""COMPUTED_VALUE"""),3)</f>
        <v>3</v>
      </c>
      <c r="X266" s="89" t="n">
        <f aca="false">IFERROR(__xludf.dummyfunction("""COMPUTED_VALUE"""),40)</f>
        <v>40</v>
      </c>
      <c r="Y266" s="89" t="n">
        <f aca="false">IFERROR(__xludf.dummyfunction("""COMPUTED_VALUE"""),88)</f>
        <v>88</v>
      </c>
    </row>
    <row r="267" customFormat="false" ht="17.9" hidden="false" customHeight="false" outlineLevel="0" collapsed="false">
      <c r="A267" s="85" t="n">
        <v>266</v>
      </c>
      <c r="B267" s="85" t="n">
        <v>467205</v>
      </c>
      <c r="C267" s="86" t="s">
        <v>367</v>
      </c>
      <c r="D267" s="87" t="s">
        <v>183</v>
      </c>
      <c r="E267" s="88" t="str">
        <f aca="false">D267</f>
        <v>P3107</v>
      </c>
      <c r="F267" s="88" t="str">
        <f aca="false">REPLACE(E267, 1, 3, "")</f>
        <v>07</v>
      </c>
      <c r="G267" s="89" t="str">
        <f aca="true">IFERROR(VLOOKUP(B267,INDIRECT("'"&amp;$F267&amp;"'!D3:D"),1,FALSE()), "Not found")</f>
        <v>Not found</v>
      </c>
      <c r="H267" s="89" t="n">
        <f aca="true">INDIRECT("'"&amp;$F267&amp;"'!D1")</f>
        <v>0</v>
      </c>
      <c r="I267" s="89" t="str">
        <f aca="false">IFERROR(__xludf.dummyfunction("REGEXEXTRACT(ADDRESS(ROW(), 19+$H267), ""[A-Z]+"")"),"S")</f>
        <v>S</v>
      </c>
      <c r="J267" s="89" t="str">
        <f aca="false">IFERROR(__xludf.dummyfunction("REGEXEXTRACT(ADDRESS(ROW(), 25+$H267), ""[A-Z]+"")"),"Y")</f>
        <v>Y</v>
      </c>
      <c r="K267" s="89" t="str">
        <f aca="false">IFERROR(__xludf.dummyfunction("REGEXEXTRACT(ADDRESS(ROW(), 27+$H267), ""[A-Z]+"")"),"AA")</f>
        <v>AA</v>
      </c>
      <c r="L267" s="89" t="str">
        <f aca="false">IFERROR(__xludf.dummyfunction("REGEXEXTRACT(ADDRESS(ROW(), 28+$H267), ""[A-Z]+"")"),"AB")</f>
        <v>AB</v>
      </c>
      <c r="M267" s="89" t="str">
        <f aca="false">IFERROR(__xludf.dummyfunction("REGEXEXTRACT(ADDRESS(ROW(), 34+$H267), ""[A-Z]+"")"),"AH")</f>
        <v>AH</v>
      </c>
      <c r="N267" s="89" t="str">
        <f aca="false">IFERROR(__xludf.dummyfunction("REGEXEXTRACT(ADDRESS(ROW(), 37+$H267), ""[A-Z]+"")"),"AK")</f>
        <v>AK</v>
      </c>
      <c r="O267" s="89" t="str">
        <f aca="false">IFERROR(__xludf.dummyfunction("REGEXEXTRACT(ADDRESS(ROW(), 38+$H267), ""[A-Z]+"")"),"AL")</f>
        <v>AL</v>
      </c>
      <c r="P267" s="89" t="str">
        <f aca="false">IFERROR(__xludf.dummyfunction("REGEXEXTRACT(ADDRESS(ROW(), 39+$H267), ""[A-Z]+"")"),"AM")</f>
        <v>AM</v>
      </c>
      <c r="Q267" s="89" t="str">
        <f aca="false">IFERROR(__xludf.dummyfunction("REGEXEXTRACT(ADDRESS(ROW(), 40+$H267), ""[A-Z]+"")"),"AN")</f>
        <v>AN</v>
      </c>
      <c r="R267" s="89" t="n">
        <f aca="false">IFERROR(__xludf.dummyfunction("IFERROR(QUERY(INDIRECT(""'""&amp;$F267&amp;""'!C3:""&amp;Q267&amp;""""), ""SELECT ""&amp;I267&amp;"", ""&amp;J267&amp;"", ""&amp;K267&amp;"", ""&amp;L267&amp;"", ""&amp;M267&amp;"", ""&amp;N267&amp;"", ""&amp;O267&amp;"", ""&amp;P267&amp;"" WHERE '""&amp;B267&amp;""' CONTAINS D"", 0), """")"),20)</f>
        <v>20</v>
      </c>
      <c r="S267" s="89" t="n">
        <f aca="false">IFERROR(__xludf.dummyfunction("""COMPUTED_VALUE"""),20)</f>
        <v>20</v>
      </c>
      <c r="T267" s="89"/>
      <c r="U267" s="89"/>
      <c r="V267" s="89" t="n">
        <f aca="false">IFERROR(__xludf.dummyfunction("""COMPUTED_VALUE"""),6)</f>
        <v>6</v>
      </c>
      <c r="W267" s="89"/>
      <c r="X267" s="89" t="n">
        <f aca="false">IFERROR(__xludf.dummyfunction("""COMPUTED_VALUE"""),40)</f>
        <v>40</v>
      </c>
      <c r="Y267" s="89" t="n">
        <f aca="false">IFERROR(__xludf.dummyfunction("""COMPUTED_VALUE"""),86)</f>
        <v>86</v>
      </c>
    </row>
    <row r="268" customFormat="false" ht="17.9" hidden="false" customHeight="false" outlineLevel="0" collapsed="false">
      <c r="A268" s="85" t="n">
        <v>267</v>
      </c>
      <c r="B268" s="85" t="n">
        <v>472395</v>
      </c>
      <c r="C268" s="86" t="s">
        <v>368</v>
      </c>
      <c r="D268" s="87" t="s">
        <v>183</v>
      </c>
      <c r="E268" s="88" t="str">
        <f aca="false">D268</f>
        <v>P3107</v>
      </c>
      <c r="F268" s="88" t="str">
        <f aca="false">REPLACE(E268, 1, 3, "")</f>
        <v>07</v>
      </c>
      <c r="G268" s="89" t="str">
        <f aca="true">IFERROR(VLOOKUP(B268,INDIRECT("'"&amp;$F268&amp;"'!D3:D"),1,FALSE()), "Not found")</f>
        <v>Not found</v>
      </c>
      <c r="H268" s="89" t="n">
        <f aca="true">INDIRECT("'"&amp;$F268&amp;"'!D1")</f>
        <v>0</v>
      </c>
      <c r="I268" s="89" t="str">
        <f aca="false">IFERROR(__xludf.dummyfunction("REGEXEXTRACT(ADDRESS(ROW(), 19+$H268), ""[A-Z]+"")"),"S")</f>
        <v>S</v>
      </c>
      <c r="J268" s="89" t="str">
        <f aca="false">IFERROR(__xludf.dummyfunction("REGEXEXTRACT(ADDRESS(ROW(), 25+$H268), ""[A-Z]+"")"),"Y")</f>
        <v>Y</v>
      </c>
      <c r="K268" s="89" t="str">
        <f aca="false">IFERROR(__xludf.dummyfunction("REGEXEXTRACT(ADDRESS(ROW(), 27+$H268), ""[A-Z]+"")"),"AA")</f>
        <v>AA</v>
      </c>
      <c r="L268" s="89" t="str">
        <f aca="false">IFERROR(__xludf.dummyfunction("REGEXEXTRACT(ADDRESS(ROW(), 28+$H268), ""[A-Z]+"")"),"AB")</f>
        <v>AB</v>
      </c>
      <c r="M268" s="89" t="str">
        <f aca="false">IFERROR(__xludf.dummyfunction("REGEXEXTRACT(ADDRESS(ROW(), 34+$H268), ""[A-Z]+"")"),"AH")</f>
        <v>AH</v>
      </c>
      <c r="N268" s="89" t="str">
        <f aca="false">IFERROR(__xludf.dummyfunction("REGEXEXTRACT(ADDRESS(ROW(), 37+$H268), ""[A-Z]+"")"),"AK")</f>
        <v>AK</v>
      </c>
      <c r="O268" s="89" t="str">
        <f aca="false">IFERROR(__xludf.dummyfunction("REGEXEXTRACT(ADDRESS(ROW(), 38+$H268), ""[A-Z]+"")"),"AL")</f>
        <v>AL</v>
      </c>
      <c r="P268" s="89" t="str">
        <f aca="false">IFERROR(__xludf.dummyfunction("REGEXEXTRACT(ADDRESS(ROW(), 39+$H268), ""[A-Z]+"")"),"AM")</f>
        <v>AM</v>
      </c>
      <c r="Q268" s="89" t="str">
        <f aca="false">IFERROR(__xludf.dummyfunction("REGEXEXTRACT(ADDRESS(ROW(), 40+$H268), ""[A-Z]+"")"),"AN")</f>
        <v>AN</v>
      </c>
      <c r="R268" s="89" t="n">
        <f aca="false">IFERROR(__xludf.dummyfunction("IFERROR(QUERY(INDIRECT(""'""&amp;$F268&amp;""'!C3:""&amp;Q268&amp;""""), ""SELECT ""&amp;I268&amp;"", ""&amp;J268&amp;"", ""&amp;K268&amp;"", ""&amp;L268&amp;"", ""&amp;M268&amp;"", ""&amp;N268&amp;"", ""&amp;O268&amp;"", ""&amp;P268&amp;"" WHERE '""&amp;B268&amp;""' CONTAINS D"", 0), """")"),17)</f>
        <v>17</v>
      </c>
      <c r="S268" s="89" t="n">
        <f aca="false">IFERROR(__xludf.dummyfunction("""COMPUTED_VALUE"""),18)</f>
        <v>18</v>
      </c>
      <c r="T268" s="89"/>
      <c r="U268" s="89"/>
      <c r="V268" s="89" t="n">
        <f aca="false">IFERROR(__xludf.dummyfunction("""COMPUTED_VALUE"""),9)</f>
        <v>9</v>
      </c>
      <c r="W268" s="89"/>
      <c r="X268" s="89" t="n">
        <f aca="false">IFERROR(__xludf.dummyfunction("""COMPUTED_VALUE"""),40)</f>
        <v>40</v>
      </c>
      <c r="Y268" s="89" t="n">
        <f aca="false">IFERROR(__xludf.dummyfunction("""COMPUTED_VALUE"""),84)</f>
        <v>84</v>
      </c>
    </row>
    <row r="269" customFormat="false" ht="17.9" hidden="false" customHeight="false" outlineLevel="0" collapsed="false">
      <c r="A269" s="85" t="n">
        <v>268</v>
      </c>
      <c r="B269" s="85" t="n">
        <v>467211</v>
      </c>
      <c r="C269" s="86" t="s">
        <v>369</v>
      </c>
      <c r="D269" s="87" t="s">
        <v>127</v>
      </c>
      <c r="E269" s="88" t="str">
        <f aca="false">D269</f>
        <v>P3131</v>
      </c>
      <c r="F269" s="88" t="str">
        <f aca="false">REPLACE(E269, 1, 3, "")</f>
        <v>31</v>
      </c>
      <c r="G269" s="89" t="str">
        <f aca="true">IFERROR(VLOOKUP(B269,INDIRECT("'"&amp;$F269&amp;"'!D3:D"),1,FALSE()), "Not found")</f>
        <v>Not found</v>
      </c>
      <c r="H269" s="89" t="n">
        <f aca="true">INDIRECT("'"&amp;$F269&amp;"'!D1")</f>
        <v>0</v>
      </c>
      <c r="I269" s="89" t="str">
        <f aca="false">IFERROR(__xludf.dummyfunction("REGEXEXTRACT(ADDRESS(ROW(), 19+$H269), ""[A-Z]+"")"),"S")</f>
        <v>S</v>
      </c>
      <c r="J269" s="89" t="str">
        <f aca="false">IFERROR(__xludf.dummyfunction("REGEXEXTRACT(ADDRESS(ROW(), 25+$H269), ""[A-Z]+"")"),"Y")</f>
        <v>Y</v>
      </c>
      <c r="K269" s="89" t="str">
        <f aca="false">IFERROR(__xludf.dummyfunction("REGEXEXTRACT(ADDRESS(ROW(), 27+$H269), ""[A-Z]+"")"),"AA")</f>
        <v>AA</v>
      </c>
      <c r="L269" s="89" t="str">
        <f aca="false">IFERROR(__xludf.dummyfunction("REGEXEXTRACT(ADDRESS(ROW(), 28+$H269), ""[A-Z]+"")"),"AB")</f>
        <v>AB</v>
      </c>
      <c r="M269" s="89" t="str">
        <f aca="false">IFERROR(__xludf.dummyfunction("REGEXEXTRACT(ADDRESS(ROW(), 34+$H269), ""[A-Z]+"")"),"AH")</f>
        <v>AH</v>
      </c>
      <c r="N269" s="89" t="str">
        <f aca="false">IFERROR(__xludf.dummyfunction("REGEXEXTRACT(ADDRESS(ROW(), 37+$H269), ""[A-Z]+"")"),"AK")</f>
        <v>AK</v>
      </c>
      <c r="O269" s="89" t="str">
        <f aca="false">IFERROR(__xludf.dummyfunction("REGEXEXTRACT(ADDRESS(ROW(), 38+$H269), ""[A-Z]+"")"),"AL")</f>
        <v>AL</v>
      </c>
      <c r="P269" s="89" t="str">
        <f aca="false">IFERROR(__xludf.dummyfunction("REGEXEXTRACT(ADDRESS(ROW(), 39+$H269), ""[A-Z]+"")"),"AM")</f>
        <v>AM</v>
      </c>
      <c r="Q269" s="89" t="str">
        <f aca="false">IFERROR(__xludf.dummyfunction("REGEXEXTRACT(ADDRESS(ROW(), 40+$H269), ""[A-Z]+"")"),"AN")</f>
        <v>AN</v>
      </c>
      <c r="R269" s="89" t="n">
        <f aca="false">IFERROR(__xludf.dummyfunction("IFERROR(QUERY(INDIRECT(""'""&amp;$F269&amp;""'!C3:""&amp;Q269&amp;""""), ""SELECT ""&amp;I269&amp;"", ""&amp;J269&amp;"", ""&amp;K269&amp;"", ""&amp;L269&amp;"", ""&amp;M269&amp;"", ""&amp;N269&amp;"", ""&amp;O269&amp;"", ""&amp;P269&amp;"" WHERE '""&amp;B269&amp;""' CONTAINS D"", 0), """")"),15)</f>
        <v>15</v>
      </c>
      <c r="S269" s="89" t="n">
        <f aca="false">IFERROR(__xludf.dummyfunction("""COMPUTED_VALUE"""),12)</f>
        <v>12</v>
      </c>
      <c r="T269" s="89"/>
      <c r="U269" s="89"/>
      <c r="V269" s="89" t="n">
        <f aca="false">IFERROR(__xludf.dummyfunction("""COMPUTED_VALUE"""),10)</f>
        <v>10</v>
      </c>
      <c r="W269" s="89"/>
      <c r="X269" s="89" t="n">
        <f aca="false">IFERROR(__xludf.dummyfunction("""COMPUTED_VALUE"""),40)</f>
        <v>40</v>
      </c>
      <c r="Y269" s="89" t="n">
        <f aca="false">IFERROR(__xludf.dummyfunction("""COMPUTED_VALUE"""),77)</f>
        <v>77</v>
      </c>
    </row>
    <row r="270" customFormat="false" ht="17.9" hidden="false" customHeight="false" outlineLevel="0" collapsed="false">
      <c r="A270" s="85" t="n">
        <v>269</v>
      </c>
      <c r="B270" s="85" t="n">
        <v>467213</v>
      </c>
      <c r="C270" s="86" t="s">
        <v>370</v>
      </c>
      <c r="D270" s="87" t="s">
        <v>125</v>
      </c>
      <c r="E270" s="88" t="str">
        <f aca="false">D270</f>
        <v>P3115</v>
      </c>
      <c r="F270" s="88" t="str">
        <f aca="false">REPLACE(E270, 1, 3, "")</f>
        <v>15</v>
      </c>
      <c r="G270" s="89" t="str">
        <f aca="true">IFERROR(VLOOKUP(B270,INDIRECT("'"&amp;$F270&amp;"'!D3:D"),1,FALSE()), "Not found")</f>
        <v>Not found</v>
      </c>
      <c r="H270" s="89" t="n">
        <f aca="true">INDIRECT("'"&amp;$F270&amp;"'!D1")</f>
        <v>1</v>
      </c>
      <c r="I270" s="89" t="str">
        <f aca="false">IFERROR(__xludf.dummyfunction("REGEXEXTRACT(ADDRESS(ROW(), 19+$H270), ""[A-Z]+"")"),"T")</f>
        <v>T</v>
      </c>
      <c r="J270" s="89" t="str">
        <f aca="false">IFERROR(__xludf.dummyfunction("REGEXEXTRACT(ADDRESS(ROW(), 25+$H270), ""[A-Z]+"")"),"Z")</f>
        <v>Z</v>
      </c>
      <c r="K270" s="89" t="str">
        <f aca="false">IFERROR(__xludf.dummyfunction("REGEXEXTRACT(ADDRESS(ROW(), 27+$H270), ""[A-Z]+"")"),"AB")</f>
        <v>AB</v>
      </c>
      <c r="L270" s="89" t="str">
        <f aca="false">IFERROR(__xludf.dummyfunction("REGEXEXTRACT(ADDRESS(ROW(), 28+$H270), ""[A-Z]+"")"),"AC")</f>
        <v>AC</v>
      </c>
      <c r="M270" s="89" t="str">
        <f aca="false">IFERROR(__xludf.dummyfunction("REGEXEXTRACT(ADDRESS(ROW(), 34+$H270), ""[A-Z]+"")"),"AI")</f>
        <v>AI</v>
      </c>
      <c r="N270" s="89" t="str">
        <f aca="false">IFERROR(__xludf.dummyfunction("REGEXEXTRACT(ADDRESS(ROW(), 37+$H270), ""[A-Z]+"")"),"AL")</f>
        <v>AL</v>
      </c>
      <c r="O270" s="89" t="str">
        <f aca="false">IFERROR(__xludf.dummyfunction("REGEXEXTRACT(ADDRESS(ROW(), 38+$H270), ""[A-Z]+"")"),"AM")</f>
        <v>AM</v>
      </c>
      <c r="P270" s="89" t="str">
        <f aca="false">IFERROR(__xludf.dummyfunction("REGEXEXTRACT(ADDRESS(ROW(), 39+$H270), ""[A-Z]+"")"),"AN")</f>
        <v>AN</v>
      </c>
      <c r="Q270" s="89" t="str">
        <f aca="false">IFERROR(__xludf.dummyfunction("REGEXEXTRACT(ADDRESS(ROW(), 40+$H270), ""[A-Z]+"")"),"AO")</f>
        <v>AO</v>
      </c>
      <c r="R270" s="89" t="n">
        <f aca="false">IFERROR(__xludf.dummyfunction("IFERROR(QUERY(INDIRECT(""'""&amp;$F270&amp;""'!C3:""&amp;Q270&amp;""""), ""SELECT ""&amp;I270&amp;"", ""&amp;J270&amp;"", ""&amp;K270&amp;"", ""&amp;L270&amp;"", ""&amp;M270&amp;"", ""&amp;N270&amp;"", ""&amp;O270&amp;"", ""&amp;P270&amp;"" WHERE '""&amp;B270&amp;""' CONTAINS D"", 0), """")"),19)</f>
        <v>19</v>
      </c>
      <c r="S270" s="89" t="n">
        <f aca="false">IFERROR(__xludf.dummyfunction("""COMPUTED_VALUE"""),18)</f>
        <v>18</v>
      </c>
      <c r="T270" s="89"/>
      <c r="U270" s="89"/>
      <c r="V270" s="89" t="n">
        <f aca="false">IFERROR(__xludf.dummyfunction("""COMPUTED_VALUE"""),10)</f>
        <v>10</v>
      </c>
      <c r="W270" s="89"/>
      <c r="X270" s="89" t="n">
        <f aca="false">IFERROR(__xludf.dummyfunction("""COMPUTED_VALUE"""),40)</f>
        <v>40</v>
      </c>
      <c r="Y270" s="89" t="n">
        <f aca="false">IFERROR(__xludf.dummyfunction("""COMPUTED_VALUE"""),87)</f>
        <v>87</v>
      </c>
    </row>
    <row r="271" customFormat="false" ht="17.9" hidden="false" customHeight="false" outlineLevel="0" collapsed="false">
      <c r="A271" s="85" t="n">
        <v>270</v>
      </c>
      <c r="B271" s="85" t="n">
        <v>407793</v>
      </c>
      <c r="C271" s="86" t="s">
        <v>371</v>
      </c>
      <c r="D271" s="87" t="s">
        <v>87</v>
      </c>
      <c r="E271" s="88" t="str">
        <f aca="false">D271</f>
        <v>P3130</v>
      </c>
      <c r="F271" s="88" t="str">
        <f aca="false">REPLACE(E271, 1, 3, "")</f>
        <v>30</v>
      </c>
      <c r="G271" s="89" t="str">
        <f aca="true">IFERROR(VLOOKUP(B271,INDIRECT("'"&amp;$F271&amp;"'!D3:D"),1,FALSE()), "Not found")</f>
        <v>Not found</v>
      </c>
      <c r="H271" s="89" t="n">
        <f aca="true">INDIRECT("'"&amp;$F271&amp;"'!D1")</f>
        <v>0</v>
      </c>
      <c r="I271" s="89" t="str">
        <f aca="false">IFERROR(__xludf.dummyfunction("REGEXEXTRACT(ADDRESS(ROW(), 19+$H271), ""[A-Z]+"")"),"S")</f>
        <v>S</v>
      </c>
      <c r="J271" s="89" t="str">
        <f aca="false">IFERROR(__xludf.dummyfunction("REGEXEXTRACT(ADDRESS(ROW(), 25+$H271), ""[A-Z]+"")"),"Y")</f>
        <v>Y</v>
      </c>
      <c r="K271" s="89" t="str">
        <f aca="false">IFERROR(__xludf.dummyfunction("REGEXEXTRACT(ADDRESS(ROW(), 27+$H271), ""[A-Z]+"")"),"AA")</f>
        <v>AA</v>
      </c>
      <c r="L271" s="89" t="str">
        <f aca="false">IFERROR(__xludf.dummyfunction("REGEXEXTRACT(ADDRESS(ROW(), 28+$H271), ""[A-Z]+"")"),"AB")</f>
        <v>AB</v>
      </c>
      <c r="M271" s="89" t="str">
        <f aca="false">IFERROR(__xludf.dummyfunction("REGEXEXTRACT(ADDRESS(ROW(), 34+$H271), ""[A-Z]+"")"),"AH")</f>
        <v>AH</v>
      </c>
      <c r="N271" s="89" t="str">
        <f aca="false">IFERROR(__xludf.dummyfunction("REGEXEXTRACT(ADDRESS(ROW(), 37+$H271), ""[A-Z]+"")"),"AK")</f>
        <v>AK</v>
      </c>
      <c r="O271" s="89" t="str">
        <f aca="false">IFERROR(__xludf.dummyfunction("REGEXEXTRACT(ADDRESS(ROW(), 38+$H271), ""[A-Z]+"")"),"AL")</f>
        <v>AL</v>
      </c>
      <c r="P271" s="89" t="str">
        <f aca="false">IFERROR(__xludf.dummyfunction("REGEXEXTRACT(ADDRESS(ROW(), 39+$H271), ""[A-Z]+"")"),"AM")</f>
        <v>AM</v>
      </c>
      <c r="Q271" s="89" t="str">
        <f aca="false">IFERROR(__xludf.dummyfunction("REGEXEXTRACT(ADDRESS(ROW(), 40+$H271), ""[A-Z]+"")"),"AN")</f>
        <v>AN</v>
      </c>
      <c r="R271" s="89" t="n">
        <f aca="false">IFERROR(__xludf.dummyfunction("IFERROR(QUERY(INDIRECT(""'""&amp;$F271&amp;""'!C3:""&amp;Q271&amp;""""), ""SELECT ""&amp;I271&amp;"", ""&amp;J271&amp;"", ""&amp;K271&amp;"", ""&amp;L271&amp;"", ""&amp;M271&amp;"", ""&amp;N271&amp;"", ""&amp;O271&amp;"", ""&amp;P271&amp;"" WHERE '""&amp;B271&amp;""' CONTAINS D"", 0), """")"),20)</f>
        <v>20</v>
      </c>
      <c r="S271" s="89" t="n">
        <f aca="false">IFERROR(__xludf.dummyfunction("""COMPUTED_VALUE"""),14)</f>
        <v>14</v>
      </c>
      <c r="T271" s="89"/>
      <c r="U271" s="89"/>
      <c r="V271" s="89" t="n">
        <f aca="false">IFERROR(__xludf.dummyfunction("""COMPUTED_VALUE"""),6)</f>
        <v>6</v>
      </c>
      <c r="W271" s="89"/>
      <c r="X271" s="89" t="n">
        <f aca="false">IFERROR(__xludf.dummyfunction("""COMPUTED_VALUE"""),24)</f>
        <v>24</v>
      </c>
      <c r="Y271" s="89" t="n">
        <f aca="false">IFERROR(__xludf.dummyfunction("""COMPUTED_VALUE"""),64)</f>
        <v>64</v>
      </c>
    </row>
    <row r="272" customFormat="false" ht="17.9" hidden="false" customHeight="false" outlineLevel="0" collapsed="false">
      <c r="A272" s="85" t="n">
        <v>271</v>
      </c>
      <c r="B272" s="85" t="n">
        <v>467222</v>
      </c>
      <c r="C272" s="86" t="s">
        <v>372</v>
      </c>
      <c r="D272" s="87" t="s">
        <v>151</v>
      </c>
      <c r="E272" s="88" t="str">
        <f aca="false">D272</f>
        <v>P3122</v>
      </c>
      <c r="F272" s="88" t="str">
        <f aca="false">REPLACE(E272, 1, 3, "")</f>
        <v>22</v>
      </c>
      <c r="G272" s="89" t="str">
        <f aca="true">IFERROR(VLOOKUP(B272,INDIRECT("'"&amp;$F272&amp;"'!D3:D"),1,FALSE()), "Not found")</f>
        <v>Not found</v>
      </c>
      <c r="H272" s="89" t="n">
        <f aca="true">INDIRECT("'"&amp;$F272&amp;"'!D1")</f>
        <v>0</v>
      </c>
      <c r="I272" s="89" t="str">
        <f aca="false">IFERROR(__xludf.dummyfunction("REGEXEXTRACT(ADDRESS(ROW(), 19+$H272), ""[A-Z]+"")"),"S")</f>
        <v>S</v>
      </c>
      <c r="J272" s="89" t="str">
        <f aca="false">IFERROR(__xludf.dummyfunction("REGEXEXTRACT(ADDRESS(ROW(), 25+$H272), ""[A-Z]+"")"),"Y")</f>
        <v>Y</v>
      </c>
      <c r="K272" s="89" t="str">
        <f aca="false">IFERROR(__xludf.dummyfunction("REGEXEXTRACT(ADDRESS(ROW(), 27+$H272), ""[A-Z]+"")"),"AA")</f>
        <v>AA</v>
      </c>
      <c r="L272" s="89" t="str">
        <f aca="false">IFERROR(__xludf.dummyfunction("REGEXEXTRACT(ADDRESS(ROW(), 28+$H272), ""[A-Z]+"")"),"AB")</f>
        <v>AB</v>
      </c>
      <c r="M272" s="89" t="str">
        <f aca="false">IFERROR(__xludf.dummyfunction("REGEXEXTRACT(ADDRESS(ROW(), 34+$H272), ""[A-Z]+"")"),"AH")</f>
        <v>AH</v>
      </c>
      <c r="N272" s="89" t="str">
        <f aca="false">IFERROR(__xludf.dummyfunction("REGEXEXTRACT(ADDRESS(ROW(), 37+$H272), ""[A-Z]+"")"),"AK")</f>
        <v>AK</v>
      </c>
      <c r="O272" s="89" t="str">
        <f aca="false">IFERROR(__xludf.dummyfunction("REGEXEXTRACT(ADDRESS(ROW(), 38+$H272), ""[A-Z]+"")"),"AL")</f>
        <v>AL</v>
      </c>
      <c r="P272" s="89" t="str">
        <f aca="false">IFERROR(__xludf.dummyfunction("REGEXEXTRACT(ADDRESS(ROW(), 39+$H272), ""[A-Z]+"")"),"AM")</f>
        <v>AM</v>
      </c>
      <c r="Q272" s="89" t="str">
        <f aca="false">IFERROR(__xludf.dummyfunction("REGEXEXTRACT(ADDRESS(ROW(), 40+$H272), ""[A-Z]+"")"),"AN")</f>
        <v>AN</v>
      </c>
      <c r="R272" s="89" t="n">
        <f aca="false">IFERROR(__xludf.dummyfunction("IFERROR(QUERY(INDIRECT(""'""&amp;$F272&amp;""'!C3:""&amp;Q272&amp;""""), ""SELECT ""&amp;I272&amp;"", ""&amp;J272&amp;"", ""&amp;K272&amp;"", ""&amp;L272&amp;"", ""&amp;M272&amp;"", ""&amp;N272&amp;"", ""&amp;O272&amp;"", ""&amp;P272&amp;"" WHERE '""&amp;B272&amp;""' CONTAINS D"", 0), """")"),18)</f>
        <v>18</v>
      </c>
      <c r="S272" s="89" t="n">
        <f aca="false">IFERROR(__xludf.dummyfunction("""COMPUTED_VALUE"""),12)</f>
        <v>12</v>
      </c>
      <c r="T272" s="89"/>
      <c r="U272" s="89"/>
      <c r="V272" s="89" t="n">
        <f aca="false">IFERROR(__xludf.dummyfunction("""COMPUTED_VALUE"""),6)</f>
        <v>6</v>
      </c>
      <c r="W272" s="89"/>
      <c r="X272" s="89" t="n">
        <f aca="false">IFERROR(__xludf.dummyfunction("""COMPUTED_VALUE"""),24)</f>
        <v>24</v>
      </c>
      <c r="Y272" s="89" t="n">
        <f aca="false">IFERROR(__xludf.dummyfunction("""COMPUTED_VALUE"""),60)</f>
        <v>60</v>
      </c>
    </row>
    <row r="273" customFormat="false" ht="17.9" hidden="false" customHeight="false" outlineLevel="0" collapsed="false">
      <c r="A273" s="85" t="n">
        <v>272</v>
      </c>
      <c r="B273" s="85" t="n">
        <v>463224</v>
      </c>
      <c r="C273" s="86" t="s">
        <v>373</v>
      </c>
      <c r="D273" s="87" t="s">
        <v>87</v>
      </c>
      <c r="E273" s="88" t="str">
        <f aca="false">D273</f>
        <v>P3130</v>
      </c>
      <c r="F273" s="88" t="str">
        <f aca="false">REPLACE(E273, 1, 3, "")</f>
        <v>30</v>
      </c>
      <c r="G273" s="89" t="str">
        <f aca="true">IFERROR(VLOOKUP(B273,INDIRECT("'"&amp;$F273&amp;"'!D3:D"),1,FALSE()), "Not found")</f>
        <v>Not found</v>
      </c>
      <c r="H273" s="89" t="n">
        <f aca="true">INDIRECT("'"&amp;$F273&amp;"'!D1")</f>
        <v>0</v>
      </c>
      <c r="I273" s="89" t="str">
        <f aca="false">IFERROR(__xludf.dummyfunction("REGEXEXTRACT(ADDRESS(ROW(), 19+$H273), ""[A-Z]+"")"),"S")</f>
        <v>S</v>
      </c>
      <c r="J273" s="89" t="str">
        <f aca="false">IFERROR(__xludf.dummyfunction("REGEXEXTRACT(ADDRESS(ROW(), 25+$H273), ""[A-Z]+"")"),"Y")</f>
        <v>Y</v>
      </c>
      <c r="K273" s="89" t="str">
        <f aca="false">IFERROR(__xludf.dummyfunction("REGEXEXTRACT(ADDRESS(ROW(), 27+$H273), ""[A-Z]+"")"),"AA")</f>
        <v>AA</v>
      </c>
      <c r="L273" s="89" t="str">
        <f aca="false">IFERROR(__xludf.dummyfunction("REGEXEXTRACT(ADDRESS(ROW(), 28+$H273), ""[A-Z]+"")"),"AB")</f>
        <v>AB</v>
      </c>
      <c r="M273" s="89" t="str">
        <f aca="false">IFERROR(__xludf.dummyfunction("REGEXEXTRACT(ADDRESS(ROW(), 34+$H273), ""[A-Z]+"")"),"AH")</f>
        <v>AH</v>
      </c>
      <c r="N273" s="89" t="str">
        <f aca="false">IFERROR(__xludf.dummyfunction("REGEXEXTRACT(ADDRESS(ROW(), 37+$H273), ""[A-Z]+"")"),"AK")</f>
        <v>AK</v>
      </c>
      <c r="O273" s="89" t="str">
        <f aca="false">IFERROR(__xludf.dummyfunction("REGEXEXTRACT(ADDRESS(ROW(), 38+$H273), ""[A-Z]+"")"),"AL")</f>
        <v>AL</v>
      </c>
      <c r="P273" s="89" t="str">
        <f aca="false">IFERROR(__xludf.dummyfunction("REGEXEXTRACT(ADDRESS(ROW(), 39+$H273), ""[A-Z]+"")"),"AM")</f>
        <v>AM</v>
      </c>
      <c r="Q273" s="89" t="str">
        <f aca="false">IFERROR(__xludf.dummyfunction("REGEXEXTRACT(ADDRESS(ROW(), 40+$H273), ""[A-Z]+"")"),"AN")</f>
        <v>AN</v>
      </c>
      <c r="R273" s="89" t="n">
        <f aca="false">IFERROR(__xludf.dummyfunction("IFERROR(QUERY(INDIRECT(""'""&amp;$F273&amp;""'!C3:""&amp;Q273&amp;""""), ""SELECT ""&amp;I273&amp;"", ""&amp;J273&amp;"", ""&amp;K273&amp;"", ""&amp;L273&amp;"", ""&amp;M273&amp;"", ""&amp;N273&amp;"", ""&amp;O273&amp;"", ""&amp;P273&amp;"" WHERE '""&amp;B273&amp;""' CONTAINS D"", 0), """")"),16)</f>
        <v>16</v>
      </c>
      <c r="S273" s="89" t="n">
        <f aca="false">IFERROR(__xludf.dummyfunction("""COMPUTED_VALUE"""),17)</f>
        <v>17</v>
      </c>
      <c r="T273" s="89"/>
      <c r="U273" s="89"/>
      <c r="V273" s="89" t="n">
        <f aca="false">IFERROR(__xludf.dummyfunction("""COMPUTED_VALUE"""),6)</f>
        <v>6</v>
      </c>
      <c r="W273" s="89"/>
      <c r="X273" s="89" t="n">
        <f aca="false">IFERROR(__xludf.dummyfunction("""COMPUTED_VALUE"""),0.2)</f>
        <v>0.2</v>
      </c>
      <c r="Y273" s="89" t="n">
        <f aca="false">IFERROR(__xludf.dummyfunction("""COMPUTED_VALUE"""),39.2)</f>
        <v>39.2</v>
      </c>
    </row>
    <row r="274" customFormat="false" ht="17.9" hidden="false" customHeight="false" outlineLevel="0" collapsed="false">
      <c r="A274" s="85" t="n">
        <v>273</v>
      </c>
      <c r="B274" s="85" t="n">
        <v>414249</v>
      </c>
      <c r="C274" s="86" t="s">
        <v>374</v>
      </c>
      <c r="D274" s="87" t="s">
        <v>83</v>
      </c>
      <c r="E274" s="88" t="str">
        <f aca="false">D274</f>
        <v>P3109</v>
      </c>
      <c r="F274" s="88" t="str">
        <f aca="false">REPLACE(E274, 1, 3, "")</f>
        <v>09</v>
      </c>
      <c r="G274" s="89" t="str">
        <f aca="true">IFERROR(VLOOKUP(B274,INDIRECT("'"&amp;$F274&amp;"'!D3:D"),1,FALSE()), "Not found")</f>
        <v>Not found</v>
      </c>
      <c r="H274" s="89" t="n">
        <f aca="true">INDIRECT("'"&amp;$F274&amp;"'!D1")</f>
        <v>0</v>
      </c>
      <c r="I274" s="89" t="str">
        <f aca="false">IFERROR(__xludf.dummyfunction("REGEXEXTRACT(ADDRESS(ROW(), 19+$H274), ""[A-Z]+"")"),"S")</f>
        <v>S</v>
      </c>
      <c r="J274" s="89" t="str">
        <f aca="false">IFERROR(__xludf.dummyfunction("REGEXEXTRACT(ADDRESS(ROW(), 25+$H274), ""[A-Z]+"")"),"Y")</f>
        <v>Y</v>
      </c>
      <c r="K274" s="89" t="str">
        <f aca="false">IFERROR(__xludf.dummyfunction("REGEXEXTRACT(ADDRESS(ROW(), 27+$H274), ""[A-Z]+"")"),"AA")</f>
        <v>AA</v>
      </c>
      <c r="L274" s="89" t="str">
        <f aca="false">IFERROR(__xludf.dummyfunction("REGEXEXTRACT(ADDRESS(ROW(), 28+$H274), ""[A-Z]+"")"),"AB")</f>
        <v>AB</v>
      </c>
      <c r="M274" s="89" t="str">
        <f aca="false">IFERROR(__xludf.dummyfunction("REGEXEXTRACT(ADDRESS(ROW(), 34+$H274), ""[A-Z]+"")"),"AH")</f>
        <v>AH</v>
      </c>
      <c r="N274" s="89" t="str">
        <f aca="false">IFERROR(__xludf.dummyfunction("REGEXEXTRACT(ADDRESS(ROW(), 37+$H274), ""[A-Z]+"")"),"AK")</f>
        <v>AK</v>
      </c>
      <c r="O274" s="89" t="str">
        <f aca="false">IFERROR(__xludf.dummyfunction("REGEXEXTRACT(ADDRESS(ROW(), 38+$H274), ""[A-Z]+"")"),"AL")</f>
        <v>AL</v>
      </c>
      <c r="P274" s="89" t="str">
        <f aca="false">IFERROR(__xludf.dummyfunction("REGEXEXTRACT(ADDRESS(ROW(), 39+$H274), ""[A-Z]+"")"),"AM")</f>
        <v>AM</v>
      </c>
      <c r="Q274" s="89" t="str">
        <f aca="false">IFERROR(__xludf.dummyfunction("REGEXEXTRACT(ADDRESS(ROW(), 40+$H274), ""[A-Z]+"")"),"AN")</f>
        <v>AN</v>
      </c>
      <c r="R274" s="89" t="n">
        <f aca="false">IFERROR(__xludf.dummyfunction("IFERROR(QUERY(INDIRECT(""'""&amp;$F274&amp;""'!C3:""&amp;Q274&amp;""""), ""SELECT ""&amp;I274&amp;"", ""&amp;J274&amp;"", ""&amp;K274&amp;"", ""&amp;L274&amp;"", ""&amp;M274&amp;"", ""&amp;N274&amp;"", ""&amp;O274&amp;"", ""&amp;P274&amp;"" WHERE '""&amp;B274&amp;""' CONTAINS D"", 0), """")"),12)</f>
        <v>12</v>
      </c>
      <c r="S274" s="89" t="n">
        <f aca="false">IFERROR(__xludf.dummyfunction("""COMPUTED_VALUE"""),12)</f>
        <v>12</v>
      </c>
      <c r="T274" s="89"/>
      <c r="U274" s="89"/>
      <c r="V274" s="89" t="n">
        <f aca="false">IFERROR(__xludf.dummyfunction("""COMPUTED_VALUE"""),6.02)</f>
        <v>6.02</v>
      </c>
      <c r="W274" s="89"/>
      <c r="X274" s="89" t="n">
        <f aca="false">IFERROR(__xludf.dummyfunction("""COMPUTED_VALUE"""),30)</f>
        <v>30</v>
      </c>
      <c r="Y274" s="89" t="n">
        <f aca="false">IFERROR(__xludf.dummyfunction("""COMPUTED_VALUE"""),60.02)</f>
        <v>60.02</v>
      </c>
    </row>
    <row r="275" customFormat="false" ht="17.9" hidden="false" customHeight="false" outlineLevel="0" collapsed="false">
      <c r="A275" s="85" t="n">
        <v>274</v>
      </c>
      <c r="B275" s="85" t="n">
        <v>475186</v>
      </c>
      <c r="C275" s="86" t="s">
        <v>375</v>
      </c>
      <c r="D275" s="87" t="s">
        <v>146</v>
      </c>
      <c r="E275" s="88" t="str">
        <f aca="false">D275</f>
        <v>P3113</v>
      </c>
      <c r="F275" s="88" t="str">
        <f aca="false">REPLACE(E275, 1, 3, "")</f>
        <v>13</v>
      </c>
      <c r="G275" s="89" t="str">
        <f aca="true">IFERROR(VLOOKUP(B275,INDIRECT("'"&amp;$F275&amp;"'!D3:D"),1,FALSE()), "Not found")</f>
        <v>Not found</v>
      </c>
      <c r="H275" s="89" t="n">
        <f aca="true">INDIRECT("'"&amp;$F275&amp;"'!D1")</f>
        <v>0</v>
      </c>
      <c r="I275" s="89" t="str">
        <f aca="false">IFERROR(__xludf.dummyfunction("REGEXEXTRACT(ADDRESS(ROW(), 19+$H275), ""[A-Z]+"")"),"S")</f>
        <v>S</v>
      </c>
      <c r="J275" s="89" t="str">
        <f aca="false">IFERROR(__xludf.dummyfunction("REGEXEXTRACT(ADDRESS(ROW(), 25+$H275), ""[A-Z]+"")"),"Y")</f>
        <v>Y</v>
      </c>
      <c r="K275" s="89" t="str">
        <f aca="false">IFERROR(__xludf.dummyfunction("REGEXEXTRACT(ADDRESS(ROW(), 27+$H275), ""[A-Z]+"")"),"AA")</f>
        <v>AA</v>
      </c>
      <c r="L275" s="89" t="str">
        <f aca="false">IFERROR(__xludf.dummyfunction("REGEXEXTRACT(ADDRESS(ROW(), 28+$H275), ""[A-Z]+"")"),"AB")</f>
        <v>AB</v>
      </c>
      <c r="M275" s="89" t="str">
        <f aca="false">IFERROR(__xludf.dummyfunction("REGEXEXTRACT(ADDRESS(ROW(), 34+$H275), ""[A-Z]+"")"),"AH")</f>
        <v>AH</v>
      </c>
      <c r="N275" s="89" t="str">
        <f aca="false">IFERROR(__xludf.dummyfunction("REGEXEXTRACT(ADDRESS(ROW(), 37+$H275), ""[A-Z]+"")"),"AK")</f>
        <v>AK</v>
      </c>
      <c r="O275" s="89" t="str">
        <f aca="false">IFERROR(__xludf.dummyfunction("REGEXEXTRACT(ADDRESS(ROW(), 38+$H275), ""[A-Z]+"")"),"AL")</f>
        <v>AL</v>
      </c>
      <c r="P275" s="89" t="str">
        <f aca="false">IFERROR(__xludf.dummyfunction("REGEXEXTRACT(ADDRESS(ROW(), 39+$H275), ""[A-Z]+"")"),"AM")</f>
        <v>AM</v>
      </c>
      <c r="Q275" s="89" t="str">
        <f aca="false">IFERROR(__xludf.dummyfunction("REGEXEXTRACT(ADDRESS(ROW(), 40+$H275), ""[A-Z]+"")"),"AN")</f>
        <v>AN</v>
      </c>
      <c r="R275" s="89" t="n">
        <f aca="false">IFERROR(__xludf.dummyfunction("IFERROR(QUERY(INDIRECT(""'""&amp;$F275&amp;""'!C3:""&amp;Q275&amp;""""), ""SELECT ""&amp;I275&amp;"", ""&amp;J275&amp;"", ""&amp;K275&amp;"", ""&amp;L275&amp;"", ""&amp;M275&amp;"", ""&amp;N275&amp;"", ""&amp;O275&amp;"", ""&amp;P275&amp;"" WHERE '""&amp;B275&amp;""' CONTAINS D"", 0), """")"),16)</f>
        <v>16</v>
      </c>
      <c r="S275" s="89" t="n">
        <f aca="false">IFERROR(__xludf.dummyfunction("""COMPUTED_VALUE"""),12)</f>
        <v>12</v>
      </c>
      <c r="T275" s="89"/>
      <c r="U275" s="89"/>
      <c r="V275" s="89" t="n">
        <f aca="false">IFERROR(__xludf.dummyfunction("""COMPUTED_VALUE"""),6)</f>
        <v>6</v>
      </c>
      <c r="W275" s="89"/>
      <c r="X275" s="89" t="n">
        <f aca="false">IFERROR(__xludf.dummyfunction("""COMPUTED_VALUE"""),26)</f>
        <v>26</v>
      </c>
      <c r="Y275" s="89" t="n">
        <f aca="false">IFERROR(__xludf.dummyfunction("""COMPUTED_VALUE"""),60)</f>
        <v>60</v>
      </c>
    </row>
    <row r="276" customFormat="false" ht="17.9" hidden="false" customHeight="false" outlineLevel="0" collapsed="false">
      <c r="A276" s="85" t="n">
        <v>275</v>
      </c>
      <c r="B276" s="85" t="n">
        <v>467233</v>
      </c>
      <c r="C276" s="86" t="s">
        <v>376</v>
      </c>
      <c r="D276" s="87" t="s">
        <v>81</v>
      </c>
      <c r="E276" s="88" t="str">
        <f aca="false">D276</f>
        <v>P3108</v>
      </c>
      <c r="F276" s="88" t="str">
        <f aca="false">REPLACE(E276, 1, 3, "")</f>
        <v>08</v>
      </c>
      <c r="G276" s="89" t="str">
        <f aca="true">IFERROR(VLOOKUP(B276,INDIRECT("'"&amp;$F276&amp;"'!D3:D"),1,FALSE()), "Not found")</f>
        <v>Not found</v>
      </c>
      <c r="H276" s="89" t="n">
        <f aca="true">INDIRECT("'"&amp;$F276&amp;"'!D1")</f>
        <v>0</v>
      </c>
      <c r="I276" s="89" t="str">
        <f aca="false">IFERROR(__xludf.dummyfunction("REGEXEXTRACT(ADDRESS(ROW(), 19+$H276), ""[A-Z]+"")"),"S")</f>
        <v>S</v>
      </c>
      <c r="J276" s="89" t="str">
        <f aca="false">IFERROR(__xludf.dummyfunction("REGEXEXTRACT(ADDRESS(ROW(), 25+$H276), ""[A-Z]+"")"),"Y")</f>
        <v>Y</v>
      </c>
      <c r="K276" s="89" t="str">
        <f aca="false">IFERROR(__xludf.dummyfunction("REGEXEXTRACT(ADDRESS(ROW(), 27+$H276), ""[A-Z]+"")"),"AA")</f>
        <v>AA</v>
      </c>
      <c r="L276" s="89" t="str">
        <f aca="false">IFERROR(__xludf.dummyfunction("REGEXEXTRACT(ADDRESS(ROW(), 28+$H276), ""[A-Z]+"")"),"AB")</f>
        <v>AB</v>
      </c>
      <c r="M276" s="89" t="str">
        <f aca="false">IFERROR(__xludf.dummyfunction("REGEXEXTRACT(ADDRESS(ROW(), 34+$H276), ""[A-Z]+"")"),"AH")</f>
        <v>AH</v>
      </c>
      <c r="N276" s="89" t="str">
        <f aca="false">IFERROR(__xludf.dummyfunction("REGEXEXTRACT(ADDRESS(ROW(), 37+$H276), ""[A-Z]+"")"),"AK")</f>
        <v>AK</v>
      </c>
      <c r="O276" s="89" t="str">
        <f aca="false">IFERROR(__xludf.dummyfunction("REGEXEXTRACT(ADDRESS(ROW(), 38+$H276), ""[A-Z]+"")"),"AL")</f>
        <v>AL</v>
      </c>
      <c r="P276" s="89" t="str">
        <f aca="false">IFERROR(__xludf.dummyfunction("REGEXEXTRACT(ADDRESS(ROW(), 39+$H276), ""[A-Z]+"")"),"AM")</f>
        <v>AM</v>
      </c>
      <c r="Q276" s="89" t="str">
        <f aca="false">IFERROR(__xludf.dummyfunction("REGEXEXTRACT(ADDRESS(ROW(), 40+$H276), ""[A-Z]+"")"),"AN")</f>
        <v>AN</v>
      </c>
      <c r="R276" s="89" t="n">
        <f aca="false">IFERROR(__xludf.dummyfunction("IFERROR(QUERY(INDIRECT(""'""&amp;$F276&amp;""'!C3:""&amp;Q276&amp;""""), ""SELECT ""&amp;I276&amp;"", ""&amp;J276&amp;"", ""&amp;K276&amp;"", ""&amp;L276&amp;"", ""&amp;M276&amp;"", ""&amp;N276&amp;"", ""&amp;O276&amp;"", ""&amp;P276&amp;"" WHERE '""&amp;B276&amp;""' CONTAINS D"", 0), """")"),20)</f>
        <v>20</v>
      </c>
      <c r="S276" s="89" t="n">
        <f aca="false">IFERROR(__xludf.dummyfunction("""COMPUTED_VALUE"""),20)</f>
        <v>20</v>
      </c>
      <c r="T276" s="89"/>
      <c r="U276" s="89"/>
      <c r="V276" s="89" t="n">
        <f aca="false">IFERROR(__xludf.dummyfunction("""COMPUTED_VALUE"""),10)</f>
        <v>10</v>
      </c>
      <c r="W276" s="89"/>
      <c r="X276" s="89" t="n">
        <f aca="false">IFERROR(__xludf.dummyfunction("""COMPUTED_VALUE"""),40)</f>
        <v>40</v>
      </c>
      <c r="Y276" s="89" t="n">
        <f aca="false">IFERROR(__xludf.dummyfunction("""COMPUTED_VALUE"""),90)</f>
        <v>90</v>
      </c>
    </row>
    <row r="277" customFormat="false" ht="17.9" hidden="false" customHeight="false" outlineLevel="0" collapsed="false">
      <c r="A277" s="85" t="n">
        <v>276</v>
      </c>
      <c r="B277" s="85" t="n">
        <v>467234</v>
      </c>
      <c r="C277" s="86" t="s">
        <v>377</v>
      </c>
      <c r="D277" s="87" t="s">
        <v>81</v>
      </c>
      <c r="E277" s="88" t="str">
        <f aca="false">D277</f>
        <v>P3108</v>
      </c>
      <c r="F277" s="88" t="str">
        <f aca="false">REPLACE(E277, 1, 3, "")</f>
        <v>08</v>
      </c>
      <c r="G277" s="89" t="str">
        <f aca="true">IFERROR(VLOOKUP(B277,INDIRECT("'"&amp;$F277&amp;"'!D3:D"),1,FALSE()), "Not found")</f>
        <v>Not found</v>
      </c>
      <c r="H277" s="89" t="n">
        <f aca="true">INDIRECT("'"&amp;$F277&amp;"'!D1")</f>
        <v>0</v>
      </c>
      <c r="I277" s="89" t="str">
        <f aca="false">IFERROR(__xludf.dummyfunction("REGEXEXTRACT(ADDRESS(ROW(), 19+$H277), ""[A-Z]+"")"),"S")</f>
        <v>S</v>
      </c>
      <c r="J277" s="89" t="str">
        <f aca="false">IFERROR(__xludf.dummyfunction("REGEXEXTRACT(ADDRESS(ROW(), 25+$H277), ""[A-Z]+"")"),"Y")</f>
        <v>Y</v>
      </c>
      <c r="K277" s="89" t="str">
        <f aca="false">IFERROR(__xludf.dummyfunction("REGEXEXTRACT(ADDRESS(ROW(), 27+$H277), ""[A-Z]+"")"),"AA")</f>
        <v>AA</v>
      </c>
      <c r="L277" s="89" t="str">
        <f aca="false">IFERROR(__xludf.dummyfunction("REGEXEXTRACT(ADDRESS(ROW(), 28+$H277), ""[A-Z]+"")"),"AB")</f>
        <v>AB</v>
      </c>
      <c r="M277" s="89" t="str">
        <f aca="false">IFERROR(__xludf.dummyfunction("REGEXEXTRACT(ADDRESS(ROW(), 34+$H277), ""[A-Z]+"")"),"AH")</f>
        <v>AH</v>
      </c>
      <c r="N277" s="89" t="str">
        <f aca="false">IFERROR(__xludf.dummyfunction("REGEXEXTRACT(ADDRESS(ROW(), 37+$H277), ""[A-Z]+"")"),"AK")</f>
        <v>AK</v>
      </c>
      <c r="O277" s="89" t="str">
        <f aca="false">IFERROR(__xludf.dummyfunction("REGEXEXTRACT(ADDRESS(ROW(), 38+$H277), ""[A-Z]+"")"),"AL")</f>
        <v>AL</v>
      </c>
      <c r="P277" s="89" t="str">
        <f aca="false">IFERROR(__xludf.dummyfunction("REGEXEXTRACT(ADDRESS(ROW(), 39+$H277), ""[A-Z]+"")"),"AM")</f>
        <v>AM</v>
      </c>
      <c r="Q277" s="89" t="str">
        <f aca="false">IFERROR(__xludf.dummyfunction("REGEXEXTRACT(ADDRESS(ROW(), 40+$H277), ""[A-Z]+"")"),"AN")</f>
        <v>AN</v>
      </c>
      <c r="R277" s="89" t="n">
        <f aca="false">IFERROR(__xludf.dummyfunction("IFERROR(QUERY(INDIRECT(""'""&amp;$F277&amp;""'!C3:""&amp;Q277&amp;""""), ""SELECT ""&amp;I277&amp;"", ""&amp;J277&amp;"", ""&amp;K277&amp;"", ""&amp;L277&amp;"", ""&amp;M277&amp;"", ""&amp;N277&amp;"", ""&amp;O277&amp;"", ""&amp;P277&amp;"" WHERE '""&amp;B277&amp;""' CONTAINS D"", 0), """")"),16)</f>
        <v>16</v>
      </c>
      <c r="S277" s="89" t="n">
        <f aca="false">IFERROR(__xludf.dummyfunction("""COMPUTED_VALUE"""),17)</f>
        <v>17</v>
      </c>
      <c r="T277" s="89"/>
      <c r="U277" s="89"/>
      <c r="V277" s="89" t="n">
        <f aca="false">IFERROR(__xludf.dummyfunction("""COMPUTED_VALUE"""),6.04)</f>
        <v>6.04</v>
      </c>
      <c r="W277" s="89"/>
      <c r="X277" s="89" t="n">
        <f aca="false">IFERROR(__xludf.dummyfunction("""COMPUTED_VALUE"""),40)</f>
        <v>40</v>
      </c>
      <c r="Y277" s="89" t="n">
        <f aca="false">IFERROR(__xludf.dummyfunction("""COMPUTED_VALUE"""),79.04)</f>
        <v>79.04</v>
      </c>
    </row>
    <row r="278" customFormat="false" ht="17.9" hidden="false" customHeight="false" outlineLevel="0" collapsed="false">
      <c r="A278" s="85" t="n">
        <v>277</v>
      </c>
      <c r="B278" s="85" t="n">
        <v>467237</v>
      </c>
      <c r="C278" s="86" t="s">
        <v>378</v>
      </c>
      <c r="D278" s="87" t="s">
        <v>83</v>
      </c>
      <c r="E278" s="88" t="str">
        <f aca="false">D278</f>
        <v>P3109</v>
      </c>
      <c r="F278" s="88" t="str">
        <f aca="false">REPLACE(E278, 1, 3, "")</f>
        <v>09</v>
      </c>
      <c r="G278" s="89" t="str">
        <f aca="true">IFERROR(VLOOKUP(B278,INDIRECT("'"&amp;$F278&amp;"'!D3:D"),1,FALSE()), "Not found")</f>
        <v>Not found</v>
      </c>
      <c r="H278" s="89" t="n">
        <f aca="true">INDIRECT("'"&amp;$F278&amp;"'!D1")</f>
        <v>0</v>
      </c>
      <c r="I278" s="89" t="str">
        <f aca="false">IFERROR(__xludf.dummyfunction("REGEXEXTRACT(ADDRESS(ROW(), 19+$H278), ""[A-Z]+"")"),"S")</f>
        <v>S</v>
      </c>
      <c r="J278" s="89" t="str">
        <f aca="false">IFERROR(__xludf.dummyfunction("REGEXEXTRACT(ADDRESS(ROW(), 25+$H278), ""[A-Z]+"")"),"Y")</f>
        <v>Y</v>
      </c>
      <c r="K278" s="89" t="str">
        <f aca="false">IFERROR(__xludf.dummyfunction("REGEXEXTRACT(ADDRESS(ROW(), 27+$H278), ""[A-Z]+"")"),"AA")</f>
        <v>AA</v>
      </c>
      <c r="L278" s="89" t="str">
        <f aca="false">IFERROR(__xludf.dummyfunction("REGEXEXTRACT(ADDRESS(ROW(), 28+$H278), ""[A-Z]+"")"),"AB")</f>
        <v>AB</v>
      </c>
      <c r="M278" s="89" t="str">
        <f aca="false">IFERROR(__xludf.dummyfunction("REGEXEXTRACT(ADDRESS(ROW(), 34+$H278), ""[A-Z]+"")"),"AH")</f>
        <v>AH</v>
      </c>
      <c r="N278" s="89" t="str">
        <f aca="false">IFERROR(__xludf.dummyfunction("REGEXEXTRACT(ADDRESS(ROW(), 37+$H278), ""[A-Z]+"")"),"AK")</f>
        <v>AK</v>
      </c>
      <c r="O278" s="89" t="str">
        <f aca="false">IFERROR(__xludf.dummyfunction("REGEXEXTRACT(ADDRESS(ROW(), 38+$H278), ""[A-Z]+"")"),"AL")</f>
        <v>AL</v>
      </c>
      <c r="P278" s="89" t="str">
        <f aca="false">IFERROR(__xludf.dummyfunction("REGEXEXTRACT(ADDRESS(ROW(), 39+$H278), ""[A-Z]+"")"),"AM")</f>
        <v>AM</v>
      </c>
      <c r="Q278" s="89" t="str">
        <f aca="false">IFERROR(__xludf.dummyfunction("REGEXEXTRACT(ADDRESS(ROW(), 40+$H278), ""[A-Z]+"")"),"AN")</f>
        <v>AN</v>
      </c>
      <c r="R278" s="89" t="n">
        <f aca="false">IFERROR(__xludf.dummyfunction("IFERROR(QUERY(INDIRECT(""'""&amp;$F278&amp;""'!C3:""&amp;Q278&amp;""""), ""SELECT ""&amp;I278&amp;"", ""&amp;J278&amp;"", ""&amp;K278&amp;"", ""&amp;L278&amp;"", ""&amp;M278&amp;"", ""&amp;N278&amp;"", ""&amp;O278&amp;"", ""&amp;P278&amp;"" WHERE '""&amp;B278&amp;""' CONTAINS D"", 0), """")"),16.4)</f>
        <v>16.4</v>
      </c>
      <c r="S278" s="89" t="n">
        <f aca="false">IFERROR(__xludf.dummyfunction("""COMPUTED_VALUE"""),15)</f>
        <v>15</v>
      </c>
      <c r="T278" s="89"/>
      <c r="U278" s="89"/>
      <c r="V278" s="89" t="n">
        <f aca="false">IFERROR(__xludf.dummyfunction("""COMPUTED_VALUE"""),7)</f>
        <v>7</v>
      </c>
      <c r="W278" s="89"/>
      <c r="X278" s="89" t="n">
        <f aca="false">IFERROR(__xludf.dummyfunction("""COMPUTED_VALUE"""),24)</f>
        <v>24</v>
      </c>
      <c r="Y278" s="89" t="n">
        <f aca="false">IFERROR(__xludf.dummyfunction("""COMPUTED_VALUE"""),62.4)</f>
        <v>62.4</v>
      </c>
    </row>
    <row r="279" customFormat="false" ht="17.9" hidden="false" customHeight="false" outlineLevel="0" collapsed="false">
      <c r="A279" s="85" t="n">
        <v>278</v>
      </c>
      <c r="B279" s="85" t="n">
        <v>407893</v>
      </c>
      <c r="C279" s="86" t="s">
        <v>379</v>
      </c>
      <c r="D279" s="87" t="s">
        <v>119</v>
      </c>
      <c r="E279" s="88" t="str">
        <f aca="false">D279</f>
        <v>P3121</v>
      </c>
      <c r="F279" s="88" t="str">
        <f aca="false">REPLACE(E279, 1, 3, "")</f>
        <v>21</v>
      </c>
      <c r="G279" s="89" t="str">
        <f aca="true">IFERROR(VLOOKUP(B279,INDIRECT("'"&amp;$F279&amp;"'!D3:D"),1,FALSE()), "Not found")</f>
        <v>Not found</v>
      </c>
      <c r="H279" s="89" t="n">
        <f aca="true">INDIRECT("'"&amp;$F279&amp;"'!D1")</f>
        <v>5</v>
      </c>
      <c r="I279" s="89" t="str">
        <f aca="false">IFERROR(__xludf.dummyfunction("REGEXEXTRACT(ADDRESS(ROW(), 19+$H279), ""[A-Z]+"")"),"X")</f>
        <v>X</v>
      </c>
      <c r="J279" s="89" t="str">
        <f aca="false">IFERROR(__xludf.dummyfunction("REGEXEXTRACT(ADDRESS(ROW(), 25+$H279), ""[A-Z]+"")"),"AD")</f>
        <v>AD</v>
      </c>
      <c r="K279" s="89" t="str">
        <f aca="false">IFERROR(__xludf.dummyfunction("REGEXEXTRACT(ADDRESS(ROW(), 27+$H279), ""[A-Z]+"")"),"AF")</f>
        <v>AF</v>
      </c>
      <c r="L279" s="89" t="str">
        <f aca="false">IFERROR(__xludf.dummyfunction("REGEXEXTRACT(ADDRESS(ROW(), 28+$H279), ""[A-Z]+"")"),"AG")</f>
        <v>AG</v>
      </c>
      <c r="M279" s="89" t="str">
        <f aca="false">IFERROR(__xludf.dummyfunction("REGEXEXTRACT(ADDRESS(ROW(), 34+$H279), ""[A-Z]+"")"),"AM")</f>
        <v>AM</v>
      </c>
      <c r="N279" s="89" t="str">
        <f aca="false">IFERROR(__xludf.dummyfunction("REGEXEXTRACT(ADDRESS(ROW(), 37+$H279), ""[A-Z]+"")"),"AP")</f>
        <v>AP</v>
      </c>
      <c r="O279" s="89" t="str">
        <f aca="false">IFERROR(__xludf.dummyfunction("REGEXEXTRACT(ADDRESS(ROW(), 38+$H279), ""[A-Z]+"")"),"AQ")</f>
        <v>AQ</v>
      </c>
      <c r="P279" s="89" t="str">
        <f aca="false">IFERROR(__xludf.dummyfunction("REGEXEXTRACT(ADDRESS(ROW(), 39+$H279), ""[A-Z]+"")"),"AR")</f>
        <v>AR</v>
      </c>
      <c r="Q279" s="89" t="str">
        <f aca="false">IFERROR(__xludf.dummyfunction("REGEXEXTRACT(ADDRESS(ROW(), 40+$H279), ""[A-Z]+"")"),"AS")</f>
        <v>AS</v>
      </c>
      <c r="R279" s="89" t="n">
        <f aca="false">IFERROR(__xludf.dummyfunction("IFERROR(QUERY(INDIRECT(""'""&amp;$F279&amp;""'!C3:""&amp;Q279&amp;""""), ""SELECT ""&amp;I279&amp;"", ""&amp;J279&amp;"", ""&amp;K279&amp;"", ""&amp;L279&amp;"", ""&amp;M279&amp;"", ""&amp;N279&amp;"", ""&amp;O279&amp;"", ""&amp;P279&amp;"" WHERE '""&amp;B279&amp;""' CONTAINS D"", 0), """")"),18)</f>
        <v>18</v>
      </c>
      <c r="S279" s="89" t="n">
        <f aca="false">IFERROR(__xludf.dummyfunction("""COMPUTED_VALUE"""),20)</f>
        <v>20</v>
      </c>
      <c r="T279" s="89"/>
      <c r="U279" s="89"/>
      <c r="V279" s="89" t="n">
        <f aca="false">IFERROR(__xludf.dummyfunction("""COMPUTED_VALUE"""),9)</f>
        <v>9</v>
      </c>
      <c r="W279" s="89"/>
      <c r="X279" s="89" t="n">
        <f aca="false">IFERROR(__xludf.dummyfunction("""COMPUTED_VALUE"""),40)</f>
        <v>40</v>
      </c>
      <c r="Y279" s="89" t="n">
        <f aca="false">IFERROR(__xludf.dummyfunction("""COMPUTED_VALUE"""),87)</f>
        <v>87</v>
      </c>
    </row>
    <row r="280" customFormat="false" ht="17.9" hidden="false" customHeight="false" outlineLevel="0" collapsed="false">
      <c r="A280" s="85" t="n">
        <v>279</v>
      </c>
      <c r="B280" s="85" t="n">
        <v>467242</v>
      </c>
      <c r="C280" s="86" t="s">
        <v>380</v>
      </c>
      <c r="D280" s="87" t="s">
        <v>146</v>
      </c>
      <c r="E280" s="88" t="str">
        <f aca="false">D280</f>
        <v>P3113</v>
      </c>
      <c r="F280" s="88" t="str">
        <f aca="false">REPLACE(E280, 1, 3, "")</f>
        <v>13</v>
      </c>
      <c r="G280" s="89" t="str">
        <f aca="true">IFERROR(VLOOKUP(B280,INDIRECT("'"&amp;$F280&amp;"'!D3:D"),1,FALSE()), "Not found")</f>
        <v>Not found</v>
      </c>
      <c r="H280" s="89" t="n">
        <f aca="true">INDIRECT("'"&amp;$F280&amp;"'!D1")</f>
        <v>0</v>
      </c>
      <c r="I280" s="89" t="str">
        <f aca="false">IFERROR(__xludf.dummyfunction("REGEXEXTRACT(ADDRESS(ROW(), 19+$H280), ""[A-Z]+"")"),"S")</f>
        <v>S</v>
      </c>
      <c r="J280" s="89" t="str">
        <f aca="false">IFERROR(__xludf.dummyfunction("REGEXEXTRACT(ADDRESS(ROW(), 25+$H280), ""[A-Z]+"")"),"Y")</f>
        <v>Y</v>
      </c>
      <c r="K280" s="89" t="str">
        <f aca="false">IFERROR(__xludf.dummyfunction("REGEXEXTRACT(ADDRESS(ROW(), 27+$H280), ""[A-Z]+"")"),"AA")</f>
        <v>AA</v>
      </c>
      <c r="L280" s="89" t="str">
        <f aca="false">IFERROR(__xludf.dummyfunction("REGEXEXTRACT(ADDRESS(ROW(), 28+$H280), ""[A-Z]+"")"),"AB")</f>
        <v>AB</v>
      </c>
      <c r="M280" s="89" t="str">
        <f aca="false">IFERROR(__xludf.dummyfunction("REGEXEXTRACT(ADDRESS(ROW(), 34+$H280), ""[A-Z]+"")"),"AH")</f>
        <v>AH</v>
      </c>
      <c r="N280" s="89" t="str">
        <f aca="false">IFERROR(__xludf.dummyfunction("REGEXEXTRACT(ADDRESS(ROW(), 37+$H280), ""[A-Z]+"")"),"AK")</f>
        <v>AK</v>
      </c>
      <c r="O280" s="89" t="str">
        <f aca="false">IFERROR(__xludf.dummyfunction("REGEXEXTRACT(ADDRESS(ROW(), 38+$H280), ""[A-Z]+"")"),"AL")</f>
        <v>AL</v>
      </c>
      <c r="P280" s="89" t="str">
        <f aca="false">IFERROR(__xludf.dummyfunction("REGEXEXTRACT(ADDRESS(ROW(), 39+$H280), ""[A-Z]+"")"),"AM")</f>
        <v>AM</v>
      </c>
      <c r="Q280" s="89" t="str">
        <f aca="false">IFERROR(__xludf.dummyfunction("REGEXEXTRACT(ADDRESS(ROW(), 40+$H280), ""[A-Z]+"")"),"AN")</f>
        <v>AN</v>
      </c>
      <c r="R280" s="89" t="n">
        <f aca="false">IFERROR(__xludf.dummyfunction("IFERROR(QUERY(INDIRECT(""'""&amp;$F280&amp;""'!C3:""&amp;Q280&amp;""""), ""SELECT ""&amp;I280&amp;"", ""&amp;J280&amp;"", ""&amp;K280&amp;"", ""&amp;L280&amp;"", ""&amp;M280&amp;"", ""&amp;N280&amp;"", ""&amp;O280&amp;"", ""&amp;P280&amp;"" WHERE '""&amp;B280&amp;""' CONTAINS D"", 0), """")"),17)</f>
        <v>17</v>
      </c>
      <c r="S280" s="89" t="n">
        <f aca="false">IFERROR(__xludf.dummyfunction("""COMPUTED_VALUE"""),18)</f>
        <v>18</v>
      </c>
      <c r="T280" s="89"/>
      <c r="U280" s="89"/>
      <c r="V280" s="89" t="n">
        <f aca="false">IFERROR(__xludf.dummyfunction("""COMPUTED_VALUE"""),6)</f>
        <v>6</v>
      </c>
      <c r="W280" s="89" t="n">
        <f aca="false">IFERROR(__xludf.dummyfunction("""COMPUTED_VALUE"""),3)</f>
        <v>3</v>
      </c>
      <c r="X280" s="89" t="n">
        <f aca="false">IFERROR(__xludf.dummyfunction("""COMPUTED_VALUE"""),24)</f>
        <v>24</v>
      </c>
      <c r="Y280" s="89" t="n">
        <f aca="false">IFERROR(__xludf.dummyfunction("""COMPUTED_VALUE"""),68)</f>
        <v>68</v>
      </c>
    </row>
    <row r="281" customFormat="false" ht="17.9" hidden="false" customHeight="false" outlineLevel="0" collapsed="false">
      <c r="A281" s="85" t="n">
        <v>280</v>
      </c>
      <c r="B281" s="85" t="n">
        <v>467244</v>
      </c>
      <c r="C281" s="86" t="s">
        <v>381</v>
      </c>
      <c r="D281" s="87" t="s">
        <v>127</v>
      </c>
      <c r="E281" s="88" t="str">
        <f aca="false">D281</f>
        <v>P3131</v>
      </c>
      <c r="F281" s="88" t="str">
        <f aca="false">REPLACE(E281, 1, 3, "")</f>
        <v>31</v>
      </c>
      <c r="G281" s="89" t="str">
        <f aca="true">IFERROR(VLOOKUP(B281,INDIRECT("'"&amp;$F281&amp;"'!D3:D"),1,FALSE()), "Not found")</f>
        <v>Not found</v>
      </c>
      <c r="H281" s="89" t="n">
        <f aca="true">INDIRECT("'"&amp;$F281&amp;"'!D1")</f>
        <v>0</v>
      </c>
      <c r="I281" s="89" t="str">
        <f aca="false">IFERROR(__xludf.dummyfunction("REGEXEXTRACT(ADDRESS(ROW(), 19+$H281), ""[A-Z]+"")"),"S")</f>
        <v>S</v>
      </c>
      <c r="J281" s="89" t="str">
        <f aca="false">IFERROR(__xludf.dummyfunction("REGEXEXTRACT(ADDRESS(ROW(), 25+$H281), ""[A-Z]+"")"),"Y")</f>
        <v>Y</v>
      </c>
      <c r="K281" s="89" t="str">
        <f aca="false">IFERROR(__xludf.dummyfunction("REGEXEXTRACT(ADDRESS(ROW(), 27+$H281), ""[A-Z]+"")"),"AA")</f>
        <v>AA</v>
      </c>
      <c r="L281" s="89" t="str">
        <f aca="false">IFERROR(__xludf.dummyfunction("REGEXEXTRACT(ADDRESS(ROW(), 28+$H281), ""[A-Z]+"")"),"AB")</f>
        <v>AB</v>
      </c>
      <c r="M281" s="89" t="str">
        <f aca="false">IFERROR(__xludf.dummyfunction("REGEXEXTRACT(ADDRESS(ROW(), 34+$H281), ""[A-Z]+"")"),"AH")</f>
        <v>AH</v>
      </c>
      <c r="N281" s="89" t="str">
        <f aca="false">IFERROR(__xludf.dummyfunction("REGEXEXTRACT(ADDRESS(ROW(), 37+$H281), ""[A-Z]+"")"),"AK")</f>
        <v>AK</v>
      </c>
      <c r="O281" s="89" t="str">
        <f aca="false">IFERROR(__xludf.dummyfunction("REGEXEXTRACT(ADDRESS(ROW(), 38+$H281), ""[A-Z]+"")"),"AL")</f>
        <v>AL</v>
      </c>
      <c r="P281" s="89" t="str">
        <f aca="false">IFERROR(__xludf.dummyfunction("REGEXEXTRACT(ADDRESS(ROW(), 39+$H281), ""[A-Z]+"")"),"AM")</f>
        <v>AM</v>
      </c>
      <c r="Q281" s="89" t="str">
        <f aca="false">IFERROR(__xludf.dummyfunction("REGEXEXTRACT(ADDRESS(ROW(), 40+$H281), ""[A-Z]+"")"),"AN")</f>
        <v>AN</v>
      </c>
      <c r="R281" s="89" t="n">
        <f aca="false">IFERROR(__xludf.dummyfunction("IFERROR(QUERY(INDIRECT(""'""&amp;$F281&amp;""'!C3:""&amp;Q281&amp;""""), ""SELECT ""&amp;I281&amp;"", ""&amp;J281&amp;"", ""&amp;K281&amp;"", ""&amp;L281&amp;"", ""&amp;M281&amp;"", ""&amp;N281&amp;"", ""&amp;O281&amp;"", ""&amp;P281&amp;"" WHERE '""&amp;B281&amp;""' CONTAINS D"", 0), """")"),19)</f>
        <v>19</v>
      </c>
      <c r="S281" s="89" t="n">
        <f aca="false">IFERROR(__xludf.dummyfunction("""COMPUTED_VALUE"""),14)</f>
        <v>14</v>
      </c>
      <c r="T281" s="89"/>
      <c r="U281" s="89"/>
      <c r="V281" s="89" t="n">
        <f aca="false">IFERROR(__xludf.dummyfunction("""COMPUTED_VALUE"""),6)</f>
        <v>6</v>
      </c>
      <c r="W281" s="89"/>
      <c r="X281" s="89" t="n">
        <f aca="false">IFERROR(__xludf.dummyfunction("""COMPUTED_VALUE"""),40)</f>
        <v>40</v>
      </c>
      <c r="Y281" s="89" t="n">
        <f aca="false">IFERROR(__xludf.dummyfunction("""COMPUTED_VALUE"""),79)</f>
        <v>79</v>
      </c>
    </row>
    <row r="282" customFormat="false" ht="17.9" hidden="false" customHeight="false" outlineLevel="0" collapsed="false">
      <c r="A282" s="85" t="n">
        <v>281</v>
      </c>
      <c r="B282" s="85" t="n">
        <v>467282</v>
      </c>
      <c r="C282" s="86" t="s">
        <v>382</v>
      </c>
      <c r="D282" s="87" t="s">
        <v>85</v>
      </c>
      <c r="E282" s="88" t="str">
        <f aca="false">D282</f>
        <v>P3132</v>
      </c>
      <c r="F282" s="88" t="str">
        <f aca="false">REPLACE(E282, 1, 3, "")</f>
        <v>32</v>
      </c>
      <c r="G282" s="89" t="str">
        <f aca="true">IFERROR(VLOOKUP(B282,INDIRECT("'"&amp;$F282&amp;"'!D3:D"),1,FALSE()), "Not found")</f>
        <v>Not found</v>
      </c>
      <c r="H282" s="89" t="n">
        <f aca="true">INDIRECT("'"&amp;$F282&amp;"'!D1")</f>
        <v>0</v>
      </c>
      <c r="I282" s="89" t="str">
        <f aca="false">IFERROR(__xludf.dummyfunction("REGEXEXTRACT(ADDRESS(ROW(), 19+$H282), ""[A-Z]+"")"),"S")</f>
        <v>S</v>
      </c>
      <c r="J282" s="89" t="str">
        <f aca="false">IFERROR(__xludf.dummyfunction("REGEXEXTRACT(ADDRESS(ROW(), 25+$H282), ""[A-Z]+"")"),"Y")</f>
        <v>Y</v>
      </c>
      <c r="K282" s="89" t="str">
        <f aca="false">IFERROR(__xludf.dummyfunction("REGEXEXTRACT(ADDRESS(ROW(), 27+$H282), ""[A-Z]+"")"),"AA")</f>
        <v>AA</v>
      </c>
      <c r="L282" s="89" t="str">
        <f aca="false">IFERROR(__xludf.dummyfunction("REGEXEXTRACT(ADDRESS(ROW(), 28+$H282), ""[A-Z]+"")"),"AB")</f>
        <v>AB</v>
      </c>
      <c r="M282" s="89" t="str">
        <f aca="false">IFERROR(__xludf.dummyfunction("REGEXEXTRACT(ADDRESS(ROW(), 34+$H282), ""[A-Z]+"")"),"AH")</f>
        <v>AH</v>
      </c>
      <c r="N282" s="89" t="str">
        <f aca="false">IFERROR(__xludf.dummyfunction("REGEXEXTRACT(ADDRESS(ROW(), 37+$H282), ""[A-Z]+"")"),"AK")</f>
        <v>AK</v>
      </c>
      <c r="O282" s="89" t="str">
        <f aca="false">IFERROR(__xludf.dummyfunction("REGEXEXTRACT(ADDRESS(ROW(), 38+$H282), ""[A-Z]+"")"),"AL")</f>
        <v>AL</v>
      </c>
      <c r="P282" s="89" t="str">
        <f aca="false">IFERROR(__xludf.dummyfunction("REGEXEXTRACT(ADDRESS(ROW(), 39+$H282), ""[A-Z]+"")"),"AM")</f>
        <v>AM</v>
      </c>
      <c r="Q282" s="89" t="str">
        <f aca="false">IFERROR(__xludf.dummyfunction("REGEXEXTRACT(ADDRESS(ROW(), 40+$H282), ""[A-Z]+"")"),"AN")</f>
        <v>AN</v>
      </c>
      <c r="R282" s="89" t="n">
        <f aca="false">IFERROR(__xludf.dummyfunction("IFERROR(QUERY(INDIRECT(""'""&amp;$F282&amp;""'!C3:""&amp;Q282&amp;""""), ""SELECT ""&amp;I282&amp;"", ""&amp;J282&amp;"", ""&amp;K282&amp;"", ""&amp;L282&amp;"", ""&amp;M282&amp;"", ""&amp;N282&amp;"", ""&amp;O282&amp;"", ""&amp;P282&amp;"" WHERE '""&amp;B282&amp;""' CONTAINS D"", 0), """")"),19)</f>
        <v>19</v>
      </c>
      <c r="S282" s="89" t="n">
        <f aca="false">IFERROR(__xludf.dummyfunction("""COMPUTED_VALUE"""),16)</f>
        <v>16</v>
      </c>
      <c r="T282" s="89"/>
      <c r="U282" s="89"/>
      <c r="V282" s="89" t="n">
        <f aca="false">IFERROR(__xludf.dummyfunction("""COMPUTED_VALUE"""),6)</f>
        <v>6</v>
      </c>
      <c r="W282" s="89"/>
      <c r="X282" s="89" t="n">
        <f aca="false">IFERROR(__xludf.dummyfunction("""COMPUTED_VALUE"""),40)</f>
        <v>40</v>
      </c>
      <c r="Y282" s="89" t="n">
        <f aca="false">IFERROR(__xludf.dummyfunction("""COMPUTED_VALUE"""),81)</f>
        <v>81</v>
      </c>
    </row>
    <row r="283" customFormat="false" ht="17.9" hidden="false" customHeight="false" outlineLevel="0" collapsed="false">
      <c r="A283" s="85" t="n">
        <v>282</v>
      </c>
      <c r="B283" s="85" t="n">
        <v>467288</v>
      </c>
      <c r="C283" s="86" t="s">
        <v>383</v>
      </c>
      <c r="D283" s="87" t="s">
        <v>127</v>
      </c>
      <c r="E283" s="88" t="str">
        <f aca="false">D283</f>
        <v>P3131</v>
      </c>
      <c r="F283" s="88" t="str">
        <f aca="false">REPLACE(E283, 1, 3, "")</f>
        <v>31</v>
      </c>
      <c r="G283" s="89" t="str">
        <f aca="true">IFERROR(VLOOKUP(B283,INDIRECT("'"&amp;$F283&amp;"'!D3:D"),1,FALSE()), "Not found")</f>
        <v>Not found</v>
      </c>
      <c r="H283" s="89" t="n">
        <f aca="true">INDIRECT("'"&amp;$F283&amp;"'!D1")</f>
        <v>0</v>
      </c>
      <c r="I283" s="89" t="str">
        <f aca="false">IFERROR(__xludf.dummyfunction("REGEXEXTRACT(ADDRESS(ROW(), 19+$H283), ""[A-Z]+"")"),"S")</f>
        <v>S</v>
      </c>
      <c r="J283" s="89" t="str">
        <f aca="false">IFERROR(__xludf.dummyfunction("REGEXEXTRACT(ADDRESS(ROW(), 25+$H283), ""[A-Z]+"")"),"Y")</f>
        <v>Y</v>
      </c>
      <c r="K283" s="89" t="str">
        <f aca="false">IFERROR(__xludf.dummyfunction("REGEXEXTRACT(ADDRESS(ROW(), 27+$H283), ""[A-Z]+"")"),"AA")</f>
        <v>AA</v>
      </c>
      <c r="L283" s="89" t="str">
        <f aca="false">IFERROR(__xludf.dummyfunction("REGEXEXTRACT(ADDRESS(ROW(), 28+$H283), ""[A-Z]+"")"),"AB")</f>
        <v>AB</v>
      </c>
      <c r="M283" s="89" t="str">
        <f aca="false">IFERROR(__xludf.dummyfunction("REGEXEXTRACT(ADDRESS(ROW(), 34+$H283), ""[A-Z]+"")"),"AH")</f>
        <v>AH</v>
      </c>
      <c r="N283" s="89" t="str">
        <f aca="false">IFERROR(__xludf.dummyfunction("REGEXEXTRACT(ADDRESS(ROW(), 37+$H283), ""[A-Z]+"")"),"AK")</f>
        <v>AK</v>
      </c>
      <c r="O283" s="89" t="str">
        <f aca="false">IFERROR(__xludf.dummyfunction("REGEXEXTRACT(ADDRESS(ROW(), 38+$H283), ""[A-Z]+"")"),"AL")</f>
        <v>AL</v>
      </c>
      <c r="P283" s="89" t="str">
        <f aca="false">IFERROR(__xludf.dummyfunction("REGEXEXTRACT(ADDRESS(ROW(), 39+$H283), ""[A-Z]+"")"),"AM")</f>
        <v>AM</v>
      </c>
      <c r="Q283" s="89" t="str">
        <f aca="false">IFERROR(__xludf.dummyfunction("REGEXEXTRACT(ADDRESS(ROW(), 40+$H283), ""[A-Z]+"")"),"AN")</f>
        <v>AN</v>
      </c>
      <c r="R283" s="89" t="n">
        <f aca="false">IFERROR(__xludf.dummyfunction("IFERROR(QUERY(INDIRECT(""'""&amp;$F283&amp;""'!C3:""&amp;Q283&amp;""""), ""SELECT ""&amp;I283&amp;"", ""&amp;J283&amp;"", ""&amp;K283&amp;"", ""&amp;L283&amp;"", ""&amp;M283&amp;"", ""&amp;N283&amp;"", ""&amp;O283&amp;"", ""&amp;P283&amp;"" WHERE '""&amp;B283&amp;""' CONTAINS D"", 0), """")"),14)</f>
        <v>14</v>
      </c>
      <c r="S283" s="89" t="n">
        <f aca="false">IFERROR(__xludf.dummyfunction("""COMPUTED_VALUE"""),14)</f>
        <v>14</v>
      </c>
      <c r="T283" s="89"/>
      <c r="U283" s="89"/>
      <c r="V283" s="89" t="n">
        <f aca="false">IFERROR(__xludf.dummyfunction("""COMPUTED_VALUE"""),0.04)</f>
        <v>0.04</v>
      </c>
      <c r="W283" s="89"/>
      <c r="X283" s="89" t="n">
        <f aca="false">IFERROR(__xludf.dummyfunction("""COMPUTED_VALUE"""),0)</f>
        <v>0</v>
      </c>
      <c r="Y283" s="89" t="n">
        <f aca="false">IFERROR(__xludf.dummyfunction("""COMPUTED_VALUE"""),28.04)</f>
        <v>28.04</v>
      </c>
    </row>
    <row r="284" customFormat="false" ht="17.9" hidden="false" customHeight="false" outlineLevel="0" collapsed="false">
      <c r="A284" s="85" t="n">
        <v>283</v>
      </c>
      <c r="B284" s="85" t="n">
        <v>467297</v>
      </c>
      <c r="C284" s="86" t="s">
        <v>384</v>
      </c>
      <c r="D284" s="87" t="s">
        <v>157</v>
      </c>
      <c r="E284" s="88" t="str">
        <f aca="false">D284</f>
        <v>P3123</v>
      </c>
      <c r="F284" s="88" t="str">
        <f aca="false">REPLACE(E284, 1, 3, "")</f>
        <v>23</v>
      </c>
      <c r="G284" s="89" t="str">
        <f aca="true">IFERROR(VLOOKUP(B284,INDIRECT("'"&amp;$F284&amp;"'!D3:D"),1,FALSE()), "Not found")</f>
        <v>Not found</v>
      </c>
      <c r="H284" s="89" t="n">
        <f aca="true">INDIRECT("'"&amp;$F284&amp;"'!D1")</f>
        <v>1</v>
      </c>
      <c r="I284" s="89" t="str">
        <f aca="false">IFERROR(__xludf.dummyfunction("REGEXEXTRACT(ADDRESS(ROW(), 19+$H284), ""[A-Z]+"")"),"T")</f>
        <v>T</v>
      </c>
      <c r="J284" s="89" t="str">
        <f aca="false">IFERROR(__xludf.dummyfunction("REGEXEXTRACT(ADDRESS(ROW(), 25+$H284), ""[A-Z]+"")"),"Z")</f>
        <v>Z</v>
      </c>
      <c r="K284" s="89" t="str">
        <f aca="false">IFERROR(__xludf.dummyfunction("REGEXEXTRACT(ADDRESS(ROW(), 27+$H284), ""[A-Z]+"")"),"AB")</f>
        <v>AB</v>
      </c>
      <c r="L284" s="89" t="str">
        <f aca="false">IFERROR(__xludf.dummyfunction("REGEXEXTRACT(ADDRESS(ROW(), 28+$H284), ""[A-Z]+"")"),"AC")</f>
        <v>AC</v>
      </c>
      <c r="M284" s="89" t="str">
        <f aca="false">IFERROR(__xludf.dummyfunction("REGEXEXTRACT(ADDRESS(ROW(), 34+$H284), ""[A-Z]+"")"),"AI")</f>
        <v>AI</v>
      </c>
      <c r="N284" s="89" t="str">
        <f aca="false">IFERROR(__xludf.dummyfunction("REGEXEXTRACT(ADDRESS(ROW(), 37+$H284), ""[A-Z]+"")"),"AL")</f>
        <v>AL</v>
      </c>
      <c r="O284" s="89" t="str">
        <f aca="false">IFERROR(__xludf.dummyfunction("REGEXEXTRACT(ADDRESS(ROW(), 38+$H284), ""[A-Z]+"")"),"AM")</f>
        <v>AM</v>
      </c>
      <c r="P284" s="89" t="str">
        <f aca="false">IFERROR(__xludf.dummyfunction("REGEXEXTRACT(ADDRESS(ROW(), 39+$H284), ""[A-Z]+"")"),"AN")</f>
        <v>AN</v>
      </c>
      <c r="Q284" s="89" t="str">
        <f aca="false">IFERROR(__xludf.dummyfunction("REGEXEXTRACT(ADDRESS(ROW(), 40+$H284), ""[A-Z]+"")"),"AO")</f>
        <v>AO</v>
      </c>
      <c r="R284" s="89" t="n">
        <f aca="false">IFERROR(__xludf.dummyfunction("IFERROR(QUERY(INDIRECT(""'""&amp;$F284&amp;""'!C3:""&amp;Q284&amp;""""), ""SELECT ""&amp;I284&amp;"", ""&amp;J284&amp;"", ""&amp;K284&amp;"", ""&amp;L284&amp;"", ""&amp;M284&amp;"", ""&amp;N284&amp;"", ""&amp;O284&amp;"", ""&amp;P284&amp;"" WHERE '""&amp;B284&amp;""' CONTAINS D"", 0), """")"),18)</f>
        <v>18</v>
      </c>
      <c r="S284" s="89" t="n">
        <f aca="false">IFERROR(__xludf.dummyfunction("""COMPUTED_VALUE"""),19)</f>
        <v>19</v>
      </c>
      <c r="T284" s="89"/>
      <c r="U284" s="89"/>
      <c r="V284" s="89" t="n">
        <f aca="false">IFERROR(__xludf.dummyfunction("""COMPUTED_VALUE"""),6)</f>
        <v>6</v>
      </c>
      <c r="W284" s="89"/>
      <c r="X284" s="89" t="n">
        <f aca="false">IFERROR(__xludf.dummyfunction("""COMPUTED_VALUE"""),29)</f>
        <v>29</v>
      </c>
      <c r="Y284" s="89" t="n">
        <f aca="false">IFERROR(__xludf.dummyfunction("""COMPUTED_VALUE"""),72)</f>
        <v>72</v>
      </c>
    </row>
    <row r="285" customFormat="false" ht="17.9" hidden="false" customHeight="false" outlineLevel="0" collapsed="false">
      <c r="A285" s="85" t="n">
        <v>284</v>
      </c>
      <c r="B285" s="85" t="n">
        <v>424309</v>
      </c>
      <c r="C285" s="86" t="s">
        <v>385</v>
      </c>
      <c r="D285" s="87" t="s">
        <v>102</v>
      </c>
      <c r="E285" s="88" t="str">
        <f aca="false">D285</f>
        <v>P3110</v>
      </c>
      <c r="F285" s="88" t="str">
        <f aca="false">REPLACE(E285, 1, 3, "")</f>
        <v>10</v>
      </c>
      <c r="G285" s="89" t="str">
        <f aca="true">IFERROR(VLOOKUP(B285,INDIRECT("'"&amp;$F285&amp;"'!D3:D"),1,FALSE()), "Not found")</f>
        <v>Not found</v>
      </c>
      <c r="H285" s="89" t="n">
        <f aca="true">INDIRECT("'"&amp;$F285&amp;"'!D1")</f>
        <v>0</v>
      </c>
      <c r="I285" s="89" t="str">
        <f aca="false">IFERROR(__xludf.dummyfunction("REGEXEXTRACT(ADDRESS(ROW(), 19+$H285), ""[A-Z]+"")"),"S")</f>
        <v>S</v>
      </c>
      <c r="J285" s="89" t="str">
        <f aca="false">IFERROR(__xludf.dummyfunction("REGEXEXTRACT(ADDRESS(ROW(), 25+$H285), ""[A-Z]+"")"),"Y")</f>
        <v>Y</v>
      </c>
      <c r="K285" s="89" t="str">
        <f aca="false">IFERROR(__xludf.dummyfunction("REGEXEXTRACT(ADDRESS(ROW(), 27+$H285), ""[A-Z]+"")"),"AA")</f>
        <v>AA</v>
      </c>
      <c r="L285" s="89" t="str">
        <f aca="false">IFERROR(__xludf.dummyfunction("REGEXEXTRACT(ADDRESS(ROW(), 28+$H285), ""[A-Z]+"")"),"AB")</f>
        <v>AB</v>
      </c>
      <c r="M285" s="89" t="str">
        <f aca="false">IFERROR(__xludf.dummyfunction("REGEXEXTRACT(ADDRESS(ROW(), 34+$H285), ""[A-Z]+"")"),"AH")</f>
        <v>AH</v>
      </c>
      <c r="N285" s="89" t="str">
        <f aca="false">IFERROR(__xludf.dummyfunction("REGEXEXTRACT(ADDRESS(ROW(), 37+$H285), ""[A-Z]+"")"),"AK")</f>
        <v>AK</v>
      </c>
      <c r="O285" s="89" t="str">
        <f aca="false">IFERROR(__xludf.dummyfunction("REGEXEXTRACT(ADDRESS(ROW(), 38+$H285), ""[A-Z]+"")"),"AL")</f>
        <v>AL</v>
      </c>
      <c r="P285" s="89" t="str">
        <f aca="false">IFERROR(__xludf.dummyfunction("REGEXEXTRACT(ADDRESS(ROW(), 39+$H285), ""[A-Z]+"")"),"AM")</f>
        <v>AM</v>
      </c>
      <c r="Q285" s="89" t="str">
        <f aca="false">IFERROR(__xludf.dummyfunction("REGEXEXTRACT(ADDRESS(ROW(), 40+$H285), ""[A-Z]+"")"),"AN")</f>
        <v>AN</v>
      </c>
      <c r="R285" s="89" t="n">
        <f aca="false">IFERROR(__xludf.dummyfunction("IFERROR(QUERY(INDIRECT(""'""&amp;$F285&amp;""'!C3:""&amp;Q285&amp;""""), ""SELECT ""&amp;I285&amp;"", ""&amp;J285&amp;"", ""&amp;K285&amp;"", ""&amp;L285&amp;"", ""&amp;M285&amp;"", ""&amp;N285&amp;"", ""&amp;O285&amp;"", ""&amp;P285&amp;"" WHERE '""&amp;B285&amp;""' CONTAINS D"", 0), """")"),18)</f>
        <v>18</v>
      </c>
      <c r="S285" s="89" t="n">
        <f aca="false">IFERROR(__xludf.dummyfunction("""COMPUTED_VALUE"""),18)</f>
        <v>18</v>
      </c>
      <c r="T285" s="89"/>
      <c r="U285" s="89"/>
      <c r="V285" s="89" t="n">
        <f aca="false">IFERROR(__xludf.dummyfunction("""COMPUTED_VALUE"""),8)</f>
        <v>8</v>
      </c>
      <c r="W285" s="89"/>
      <c r="X285" s="89" t="n">
        <f aca="false">IFERROR(__xludf.dummyfunction("""COMPUTED_VALUE"""),40)</f>
        <v>40</v>
      </c>
      <c r="Y285" s="89" t="n">
        <f aca="false">IFERROR(__xludf.dummyfunction("""COMPUTED_VALUE"""),84)</f>
        <v>84</v>
      </c>
    </row>
    <row r="286" customFormat="false" ht="17.9" hidden="false" customHeight="false" outlineLevel="0" collapsed="false">
      <c r="A286" s="85" t="n">
        <v>285</v>
      </c>
      <c r="B286" s="85" t="n">
        <v>467305</v>
      </c>
      <c r="C286" s="86" t="s">
        <v>386</v>
      </c>
      <c r="D286" s="87" t="s">
        <v>151</v>
      </c>
      <c r="E286" s="88" t="str">
        <f aca="false">D286</f>
        <v>P3122</v>
      </c>
      <c r="F286" s="88" t="str">
        <f aca="false">REPLACE(E286, 1, 3, "")</f>
        <v>22</v>
      </c>
      <c r="G286" s="89" t="str">
        <f aca="true">IFERROR(VLOOKUP(B286,INDIRECT("'"&amp;$F286&amp;"'!D3:D"),1,FALSE()), "Not found")</f>
        <v>Not found</v>
      </c>
      <c r="H286" s="89" t="n">
        <f aca="true">INDIRECT("'"&amp;$F286&amp;"'!D1")</f>
        <v>0</v>
      </c>
      <c r="I286" s="89" t="str">
        <f aca="false">IFERROR(__xludf.dummyfunction("REGEXEXTRACT(ADDRESS(ROW(), 19+$H286), ""[A-Z]+"")"),"S")</f>
        <v>S</v>
      </c>
      <c r="J286" s="89" t="str">
        <f aca="false">IFERROR(__xludf.dummyfunction("REGEXEXTRACT(ADDRESS(ROW(), 25+$H286), ""[A-Z]+"")"),"Y")</f>
        <v>Y</v>
      </c>
      <c r="K286" s="89" t="str">
        <f aca="false">IFERROR(__xludf.dummyfunction("REGEXEXTRACT(ADDRESS(ROW(), 27+$H286), ""[A-Z]+"")"),"AA")</f>
        <v>AA</v>
      </c>
      <c r="L286" s="89" t="str">
        <f aca="false">IFERROR(__xludf.dummyfunction("REGEXEXTRACT(ADDRESS(ROW(), 28+$H286), ""[A-Z]+"")"),"AB")</f>
        <v>AB</v>
      </c>
      <c r="M286" s="89" t="str">
        <f aca="false">IFERROR(__xludf.dummyfunction("REGEXEXTRACT(ADDRESS(ROW(), 34+$H286), ""[A-Z]+"")"),"AH")</f>
        <v>AH</v>
      </c>
      <c r="N286" s="89" t="str">
        <f aca="false">IFERROR(__xludf.dummyfunction("REGEXEXTRACT(ADDRESS(ROW(), 37+$H286), ""[A-Z]+"")"),"AK")</f>
        <v>AK</v>
      </c>
      <c r="O286" s="89" t="str">
        <f aca="false">IFERROR(__xludf.dummyfunction("REGEXEXTRACT(ADDRESS(ROW(), 38+$H286), ""[A-Z]+"")"),"AL")</f>
        <v>AL</v>
      </c>
      <c r="P286" s="89" t="str">
        <f aca="false">IFERROR(__xludf.dummyfunction("REGEXEXTRACT(ADDRESS(ROW(), 39+$H286), ""[A-Z]+"")"),"AM")</f>
        <v>AM</v>
      </c>
      <c r="Q286" s="89" t="str">
        <f aca="false">IFERROR(__xludf.dummyfunction("REGEXEXTRACT(ADDRESS(ROW(), 40+$H286), ""[A-Z]+"")"),"AN")</f>
        <v>AN</v>
      </c>
      <c r="R286" s="89" t="n">
        <f aca="false">IFERROR(__xludf.dummyfunction("IFERROR(QUERY(INDIRECT(""'""&amp;$F286&amp;""'!C3:""&amp;Q286&amp;""""), ""SELECT ""&amp;I286&amp;"", ""&amp;J286&amp;"", ""&amp;K286&amp;"", ""&amp;L286&amp;"", ""&amp;M286&amp;"", ""&amp;N286&amp;"", ""&amp;O286&amp;"", ""&amp;P286&amp;"" WHERE '""&amp;B286&amp;""' CONTAINS D"", 0), """")"),18.5)</f>
        <v>18.5</v>
      </c>
      <c r="S286" s="89" t="n">
        <f aca="false">IFERROR(__xludf.dummyfunction("""COMPUTED_VALUE"""),17.5)</f>
        <v>17.5</v>
      </c>
      <c r="T286" s="89"/>
      <c r="U286" s="89"/>
      <c r="V286" s="89" t="n">
        <f aca="false">IFERROR(__xludf.dummyfunction("""COMPUTED_VALUE"""),10)</f>
        <v>10</v>
      </c>
      <c r="W286" s="89"/>
      <c r="X286" s="89" t="n">
        <f aca="false">IFERROR(__xludf.dummyfunction("""COMPUTED_VALUE"""),30)</f>
        <v>30</v>
      </c>
      <c r="Y286" s="89" t="n">
        <f aca="false">IFERROR(__xludf.dummyfunction("""COMPUTED_VALUE"""),76)</f>
        <v>76</v>
      </c>
    </row>
    <row r="287" customFormat="false" ht="17.9" hidden="false" customHeight="false" outlineLevel="0" collapsed="false">
      <c r="A287" s="85" t="n">
        <v>286</v>
      </c>
      <c r="B287" s="85" t="n">
        <v>467306</v>
      </c>
      <c r="C287" s="86" t="s">
        <v>387</v>
      </c>
      <c r="D287" s="87" t="s">
        <v>91</v>
      </c>
      <c r="E287" s="88" t="str">
        <f aca="false">D287</f>
        <v>P3111</v>
      </c>
      <c r="F287" s="88" t="str">
        <f aca="false">REPLACE(E287, 1, 3, "")</f>
        <v>11</v>
      </c>
      <c r="G287" s="89" t="str">
        <f aca="true">IFERROR(VLOOKUP(B287,INDIRECT("'"&amp;$F287&amp;"'!D3:D"),1,FALSE()), "Not found")</f>
        <v>Not found</v>
      </c>
      <c r="H287" s="89" t="n">
        <f aca="true">INDIRECT("'"&amp;$F287&amp;"'!D1")</f>
        <v>0</v>
      </c>
      <c r="I287" s="89" t="str">
        <f aca="false">IFERROR(__xludf.dummyfunction("REGEXEXTRACT(ADDRESS(ROW(), 19+$H287), ""[A-Z]+"")"),"S")</f>
        <v>S</v>
      </c>
      <c r="J287" s="89" t="str">
        <f aca="false">IFERROR(__xludf.dummyfunction("REGEXEXTRACT(ADDRESS(ROW(), 25+$H287), ""[A-Z]+"")"),"Y")</f>
        <v>Y</v>
      </c>
      <c r="K287" s="89" t="str">
        <f aca="false">IFERROR(__xludf.dummyfunction("REGEXEXTRACT(ADDRESS(ROW(), 27+$H287), ""[A-Z]+"")"),"AA")</f>
        <v>AA</v>
      </c>
      <c r="L287" s="89" t="str">
        <f aca="false">IFERROR(__xludf.dummyfunction("REGEXEXTRACT(ADDRESS(ROW(), 28+$H287), ""[A-Z]+"")"),"AB")</f>
        <v>AB</v>
      </c>
      <c r="M287" s="89" t="str">
        <f aca="false">IFERROR(__xludf.dummyfunction("REGEXEXTRACT(ADDRESS(ROW(), 34+$H287), ""[A-Z]+"")"),"AH")</f>
        <v>AH</v>
      </c>
      <c r="N287" s="89" t="str">
        <f aca="false">IFERROR(__xludf.dummyfunction("REGEXEXTRACT(ADDRESS(ROW(), 37+$H287), ""[A-Z]+"")"),"AK")</f>
        <v>AK</v>
      </c>
      <c r="O287" s="89" t="str">
        <f aca="false">IFERROR(__xludf.dummyfunction("REGEXEXTRACT(ADDRESS(ROW(), 38+$H287), ""[A-Z]+"")"),"AL")</f>
        <v>AL</v>
      </c>
      <c r="P287" s="89" t="str">
        <f aca="false">IFERROR(__xludf.dummyfunction("REGEXEXTRACT(ADDRESS(ROW(), 39+$H287), ""[A-Z]+"")"),"AM")</f>
        <v>AM</v>
      </c>
      <c r="Q287" s="89" t="str">
        <f aca="false">IFERROR(__xludf.dummyfunction("REGEXEXTRACT(ADDRESS(ROW(), 40+$H287), ""[A-Z]+"")"),"AN")</f>
        <v>AN</v>
      </c>
      <c r="R287" s="89" t="n">
        <f aca="false">IFERROR(__xludf.dummyfunction("IFERROR(QUERY(INDIRECT(""'""&amp;$F287&amp;""'!C3:""&amp;Q287&amp;""""), ""SELECT ""&amp;I287&amp;"", ""&amp;J287&amp;"", ""&amp;K287&amp;"", ""&amp;L287&amp;"", ""&amp;M287&amp;"", ""&amp;N287&amp;"", ""&amp;O287&amp;"", ""&amp;P287&amp;"" WHERE '""&amp;B287&amp;""' CONTAINS D"", 0), """")"),17)</f>
        <v>17</v>
      </c>
      <c r="S287" s="89" t="n">
        <f aca="false">IFERROR(__xludf.dummyfunction("""COMPUTED_VALUE"""),19)</f>
        <v>19</v>
      </c>
      <c r="T287" s="89"/>
      <c r="U287" s="89"/>
      <c r="V287" s="89" t="n">
        <f aca="false">IFERROR(__xludf.dummyfunction("""COMPUTED_VALUE"""),9)</f>
        <v>9</v>
      </c>
      <c r="W287" s="89"/>
      <c r="X287" s="89" t="n">
        <f aca="false">IFERROR(__xludf.dummyfunction("""COMPUTED_VALUE"""),40)</f>
        <v>40</v>
      </c>
      <c r="Y287" s="89" t="n">
        <f aca="false">IFERROR(__xludf.dummyfunction("""COMPUTED_VALUE"""),85)</f>
        <v>85</v>
      </c>
    </row>
    <row r="288" customFormat="false" ht="17.9" hidden="false" customHeight="false" outlineLevel="0" collapsed="false">
      <c r="A288" s="85" t="n">
        <v>287</v>
      </c>
      <c r="B288" s="85" t="n">
        <v>467307</v>
      </c>
      <c r="C288" s="86" t="s">
        <v>388</v>
      </c>
      <c r="D288" s="87" t="s">
        <v>183</v>
      </c>
      <c r="E288" s="88" t="str">
        <f aca="false">D288</f>
        <v>P3107</v>
      </c>
      <c r="F288" s="88" t="str">
        <f aca="false">REPLACE(E288, 1, 3, "")</f>
        <v>07</v>
      </c>
      <c r="G288" s="89" t="str">
        <f aca="true">IFERROR(VLOOKUP(B288,INDIRECT("'"&amp;$F288&amp;"'!D3:D"),1,FALSE()), "Not found")</f>
        <v>Not found</v>
      </c>
      <c r="H288" s="89" t="n">
        <f aca="true">INDIRECT("'"&amp;$F288&amp;"'!D1")</f>
        <v>0</v>
      </c>
      <c r="I288" s="89" t="str">
        <f aca="false">IFERROR(__xludf.dummyfunction("REGEXEXTRACT(ADDRESS(ROW(), 19+$H288), ""[A-Z]+"")"),"S")</f>
        <v>S</v>
      </c>
      <c r="J288" s="89" t="str">
        <f aca="false">IFERROR(__xludf.dummyfunction("REGEXEXTRACT(ADDRESS(ROW(), 25+$H288), ""[A-Z]+"")"),"Y")</f>
        <v>Y</v>
      </c>
      <c r="K288" s="89" t="str">
        <f aca="false">IFERROR(__xludf.dummyfunction("REGEXEXTRACT(ADDRESS(ROW(), 27+$H288), ""[A-Z]+"")"),"AA")</f>
        <v>AA</v>
      </c>
      <c r="L288" s="89" t="str">
        <f aca="false">IFERROR(__xludf.dummyfunction("REGEXEXTRACT(ADDRESS(ROW(), 28+$H288), ""[A-Z]+"")"),"AB")</f>
        <v>AB</v>
      </c>
      <c r="M288" s="89" t="str">
        <f aca="false">IFERROR(__xludf.dummyfunction("REGEXEXTRACT(ADDRESS(ROW(), 34+$H288), ""[A-Z]+"")"),"AH")</f>
        <v>AH</v>
      </c>
      <c r="N288" s="89" t="str">
        <f aca="false">IFERROR(__xludf.dummyfunction("REGEXEXTRACT(ADDRESS(ROW(), 37+$H288), ""[A-Z]+"")"),"AK")</f>
        <v>AK</v>
      </c>
      <c r="O288" s="89" t="str">
        <f aca="false">IFERROR(__xludf.dummyfunction("REGEXEXTRACT(ADDRESS(ROW(), 38+$H288), ""[A-Z]+"")"),"AL")</f>
        <v>AL</v>
      </c>
      <c r="P288" s="89" t="str">
        <f aca="false">IFERROR(__xludf.dummyfunction("REGEXEXTRACT(ADDRESS(ROW(), 39+$H288), ""[A-Z]+"")"),"AM")</f>
        <v>AM</v>
      </c>
      <c r="Q288" s="89" t="str">
        <f aca="false">IFERROR(__xludf.dummyfunction("REGEXEXTRACT(ADDRESS(ROW(), 40+$H288), ""[A-Z]+"")"),"AN")</f>
        <v>AN</v>
      </c>
      <c r="R288" s="89" t="n">
        <f aca="false">IFERROR(__xludf.dummyfunction("IFERROR(QUERY(INDIRECT(""'""&amp;$F288&amp;""'!C3:""&amp;Q288&amp;""""), ""SELECT ""&amp;I288&amp;"", ""&amp;J288&amp;"", ""&amp;K288&amp;"", ""&amp;L288&amp;"", ""&amp;M288&amp;"", ""&amp;N288&amp;"", ""&amp;O288&amp;"", ""&amp;P288&amp;"" WHERE '""&amp;B288&amp;""' CONTAINS D"", 0), """")"),20)</f>
        <v>20</v>
      </c>
      <c r="S288" s="89" t="n">
        <f aca="false">IFERROR(__xludf.dummyfunction("""COMPUTED_VALUE"""),20)</f>
        <v>20</v>
      </c>
      <c r="T288" s="89"/>
      <c r="U288" s="89"/>
      <c r="V288" s="89" t="n">
        <f aca="false">IFERROR(__xludf.dummyfunction("""COMPUTED_VALUE"""),10)</f>
        <v>10</v>
      </c>
      <c r="W288" s="89"/>
      <c r="X288" s="89" t="n">
        <f aca="false">IFERROR(__xludf.dummyfunction("""COMPUTED_VALUE"""),40)</f>
        <v>40</v>
      </c>
      <c r="Y288" s="89" t="n">
        <f aca="false">IFERROR(__xludf.dummyfunction("""COMPUTED_VALUE"""),90)</f>
        <v>90</v>
      </c>
    </row>
    <row r="289" customFormat="false" ht="17.9" hidden="false" customHeight="false" outlineLevel="0" collapsed="false">
      <c r="A289" s="85" t="n">
        <v>288</v>
      </c>
      <c r="B289" s="85" t="n">
        <v>467318</v>
      </c>
      <c r="C289" s="86" t="s">
        <v>389</v>
      </c>
      <c r="D289" s="87" t="s">
        <v>127</v>
      </c>
      <c r="E289" s="88" t="str">
        <f aca="false">D289</f>
        <v>P3131</v>
      </c>
      <c r="F289" s="88" t="str">
        <f aca="false">REPLACE(E289, 1, 3, "")</f>
        <v>31</v>
      </c>
      <c r="G289" s="89" t="str">
        <f aca="true">IFERROR(VLOOKUP(B289,INDIRECT("'"&amp;$F289&amp;"'!D3:D"),1,FALSE()), "Not found")</f>
        <v>Not found</v>
      </c>
      <c r="H289" s="89" t="n">
        <f aca="true">INDIRECT("'"&amp;$F289&amp;"'!D1")</f>
        <v>0</v>
      </c>
      <c r="I289" s="89" t="str">
        <f aca="false">IFERROR(__xludf.dummyfunction("REGEXEXTRACT(ADDRESS(ROW(), 19+$H289), ""[A-Z]+"")"),"S")</f>
        <v>S</v>
      </c>
      <c r="J289" s="89" t="str">
        <f aca="false">IFERROR(__xludf.dummyfunction("REGEXEXTRACT(ADDRESS(ROW(), 25+$H289), ""[A-Z]+"")"),"Y")</f>
        <v>Y</v>
      </c>
      <c r="K289" s="89" t="str">
        <f aca="false">IFERROR(__xludf.dummyfunction("REGEXEXTRACT(ADDRESS(ROW(), 27+$H289), ""[A-Z]+"")"),"AA")</f>
        <v>AA</v>
      </c>
      <c r="L289" s="89" t="str">
        <f aca="false">IFERROR(__xludf.dummyfunction("REGEXEXTRACT(ADDRESS(ROW(), 28+$H289), ""[A-Z]+"")"),"AB")</f>
        <v>AB</v>
      </c>
      <c r="M289" s="89" t="str">
        <f aca="false">IFERROR(__xludf.dummyfunction("REGEXEXTRACT(ADDRESS(ROW(), 34+$H289), ""[A-Z]+"")"),"AH")</f>
        <v>AH</v>
      </c>
      <c r="N289" s="89" t="str">
        <f aca="false">IFERROR(__xludf.dummyfunction("REGEXEXTRACT(ADDRESS(ROW(), 37+$H289), ""[A-Z]+"")"),"AK")</f>
        <v>AK</v>
      </c>
      <c r="O289" s="89" t="str">
        <f aca="false">IFERROR(__xludf.dummyfunction("REGEXEXTRACT(ADDRESS(ROW(), 38+$H289), ""[A-Z]+"")"),"AL")</f>
        <v>AL</v>
      </c>
      <c r="P289" s="89" t="str">
        <f aca="false">IFERROR(__xludf.dummyfunction("REGEXEXTRACT(ADDRESS(ROW(), 39+$H289), ""[A-Z]+"")"),"AM")</f>
        <v>AM</v>
      </c>
      <c r="Q289" s="89" t="str">
        <f aca="false">IFERROR(__xludf.dummyfunction("REGEXEXTRACT(ADDRESS(ROW(), 40+$H289), ""[A-Z]+"")"),"AN")</f>
        <v>AN</v>
      </c>
      <c r="R289" s="89" t="n">
        <f aca="false">IFERROR(__xludf.dummyfunction("IFERROR(QUERY(INDIRECT(""'""&amp;$F289&amp;""'!C3:""&amp;Q289&amp;""""), ""SELECT ""&amp;I289&amp;"", ""&amp;J289&amp;"", ""&amp;K289&amp;"", ""&amp;L289&amp;"", ""&amp;M289&amp;"", ""&amp;N289&amp;"", ""&amp;O289&amp;"", ""&amp;P289&amp;"" WHERE '""&amp;B289&amp;""' CONTAINS D"", 0), """")"),18)</f>
        <v>18</v>
      </c>
      <c r="S289" s="89" t="n">
        <f aca="false">IFERROR(__xludf.dummyfunction("""COMPUTED_VALUE"""),17)</f>
        <v>17</v>
      </c>
      <c r="T289" s="89"/>
      <c r="U289" s="89"/>
      <c r="V289" s="89" t="n">
        <f aca="false">IFERROR(__xludf.dummyfunction("""COMPUTED_VALUE"""),9.5)</f>
        <v>9.5</v>
      </c>
      <c r="W289" s="89"/>
      <c r="X289" s="89" t="n">
        <f aca="false">IFERROR(__xludf.dummyfunction("""COMPUTED_VALUE"""),40)</f>
        <v>40</v>
      </c>
      <c r="Y289" s="89" t="n">
        <f aca="false">IFERROR(__xludf.dummyfunction("""COMPUTED_VALUE"""),84.5)</f>
        <v>84.5</v>
      </c>
    </row>
    <row r="290" customFormat="false" ht="17.9" hidden="false" customHeight="false" outlineLevel="0" collapsed="false">
      <c r="A290" s="85" t="n">
        <v>289</v>
      </c>
      <c r="B290" s="85" t="n">
        <v>467329</v>
      </c>
      <c r="C290" s="86" t="s">
        <v>390</v>
      </c>
      <c r="D290" s="87" t="s">
        <v>121</v>
      </c>
      <c r="E290" s="88" t="str">
        <f aca="false">D290</f>
        <v>P3120</v>
      </c>
      <c r="F290" s="88" t="str">
        <f aca="false">REPLACE(E290, 1, 3, "")</f>
        <v>20</v>
      </c>
      <c r="G290" s="89" t="str">
        <f aca="true">IFERROR(VLOOKUP(B290,INDIRECT("'"&amp;$F290&amp;"'!D3:D"),1,FALSE()), "Not found")</f>
        <v>Not found</v>
      </c>
      <c r="H290" s="89" t="n">
        <f aca="true">INDIRECT("'"&amp;$F290&amp;"'!D1")</f>
        <v>5</v>
      </c>
      <c r="I290" s="89" t="str">
        <f aca="false">IFERROR(__xludf.dummyfunction("REGEXEXTRACT(ADDRESS(ROW(), 19+$H290), ""[A-Z]+"")"),"X")</f>
        <v>X</v>
      </c>
      <c r="J290" s="89" t="str">
        <f aca="false">IFERROR(__xludf.dummyfunction("REGEXEXTRACT(ADDRESS(ROW(), 25+$H290), ""[A-Z]+"")"),"AD")</f>
        <v>AD</v>
      </c>
      <c r="K290" s="89" t="str">
        <f aca="false">IFERROR(__xludf.dummyfunction("REGEXEXTRACT(ADDRESS(ROW(), 27+$H290), ""[A-Z]+"")"),"AF")</f>
        <v>AF</v>
      </c>
      <c r="L290" s="89" t="str">
        <f aca="false">IFERROR(__xludf.dummyfunction("REGEXEXTRACT(ADDRESS(ROW(), 28+$H290), ""[A-Z]+"")"),"AG")</f>
        <v>AG</v>
      </c>
      <c r="M290" s="89" t="str">
        <f aca="false">IFERROR(__xludf.dummyfunction("REGEXEXTRACT(ADDRESS(ROW(), 34+$H290), ""[A-Z]+"")"),"AM")</f>
        <v>AM</v>
      </c>
      <c r="N290" s="89" t="str">
        <f aca="false">IFERROR(__xludf.dummyfunction("REGEXEXTRACT(ADDRESS(ROW(), 37+$H290), ""[A-Z]+"")"),"AP")</f>
        <v>AP</v>
      </c>
      <c r="O290" s="89" t="str">
        <f aca="false">IFERROR(__xludf.dummyfunction("REGEXEXTRACT(ADDRESS(ROW(), 38+$H290), ""[A-Z]+"")"),"AQ")</f>
        <v>AQ</v>
      </c>
      <c r="P290" s="89" t="str">
        <f aca="false">IFERROR(__xludf.dummyfunction("REGEXEXTRACT(ADDRESS(ROW(), 39+$H290), ""[A-Z]+"")"),"AR")</f>
        <v>AR</v>
      </c>
      <c r="Q290" s="89" t="str">
        <f aca="false">IFERROR(__xludf.dummyfunction("REGEXEXTRACT(ADDRESS(ROW(), 40+$H290), ""[A-Z]+"")"),"AS")</f>
        <v>AS</v>
      </c>
      <c r="R290" s="89" t="n">
        <f aca="false">IFERROR(__xludf.dummyfunction("IFERROR(QUERY(INDIRECT(""'""&amp;$F290&amp;""'!C3:""&amp;Q290&amp;""""), ""SELECT ""&amp;I290&amp;"", ""&amp;J290&amp;"", ""&amp;K290&amp;"", ""&amp;L290&amp;"", ""&amp;M290&amp;"", ""&amp;N290&amp;"", ""&amp;O290&amp;"", ""&amp;P290&amp;"" WHERE '""&amp;B290&amp;""' CONTAINS D"", 0), """")"),16)</f>
        <v>16</v>
      </c>
      <c r="S290" s="89" t="n">
        <f aca="false">IFERROR(__xludf.dummyfunction("""COMPUTED_VALUE"""),17)</f>
        <v>17</v>
      </c>
      <c r="T290" s="89"/>
      <c r="U290" s="89"/>
      <c r="V290" s="89" t="n">
        <f aca="false">IFERROR(__xludf.dummyfunction("""COMPUTED_VALUE"""),6)</f>
        <v>6</v>
      </c>
      <c r="W290" s="89"/>
      <c r="X290" s="89" t="n">
        <f aca="false">IFERROR(__xludf.dummyfunction("""COMPUTED_VALUE"""),25)</f>
        <v>25</v>
      </c>
      <c r="Y290" s="89" t="n">
        <f aca="false">IFERROR(__xludf.dummyfunction("""COMPUTED_VALUE"""),64)</f>
        <v>64</v>
      </c>
    </row>
    <row r="291" customFormat="false" ht="17.9" hidden="false" customHeight="false" outlineLevel="0" collapsed="false">
      <c r="A291" s="85" t="n">
        <v>290</v>
      </c>
      <c r="B291" s="85" t="n">
        <v>372451</v>
      </c>
      <c r="C291" s="86" t="s">
        <v>391</v>
      </c>
      <c r="D291" s="87" t="s">
        <v>95</v>
      </c>
      <c r="E291" s="88" t="str">
        <f aca="false">D291</f>
        <v>P3106</v>
      </c>
      <c r="F291" s="88" t="str">
        <f aca="false">REPLACE(E291, 1, 3, "")</f>
        <v>06</v>
      </c>
      <c r="G291" s="89" t="str">
        <f aca="true">IFERROR(VLOOKUP(B291,INDIRECT("'"&amp;$F291&amp;"'!D3:D"),1,FALSE()), "Not found")</f>
        <v>Not found</v>
      </c>
      <c r="H291" s="89" t="n">
        <f aca="true">INDIRECT("'"&amp;$F291&amp;"'!D1")</f>
        <v>0</v>
      </c>
      <c r="I291" s="89" t="str">
        <f aca="false">IFERROR(__xludf.dummyfunction("REGEXEXTRACT(ADDRESS(ROW(), 19+$H291), ""[A-Z]+"")"),"S")</f>
        <v>S</v>
      </c>
      <c r="J291" s="89" t="str">
        <f aca="false">IFERROR(__xludf.dummyfunction("REGEXEXTRACT(ADDRESS(ROW(), 25+$H291), ""[A-Z]+"")"),"Y")</f>
        <v>Y</v>
      </c>
      <c r="K291" s="89" t="str">
        <f aca="false">IFERROR(__xludf.dummyfunction("REGEXEXTRACT(ADDRESS(ROW(), 27+$H291), ""[A-Z]+"")"),"AA")</f>
        <v>AA</v>
      </c>
      <c r="L291" s="89" t="str">
        <f aca="false">IFERROR(__xludf.dummyfunction("REGEXEXTRACT(ADDRESS(ROW(), 28+$H291), ""[A-Z]+"")"),"AB")</f>
        <v>AB</v>
      </c>
      <c r="M291" s="89" t="str">
        <f aca="false">IFERROR(__xludf.dummyfunction("REGEXEXTRACT(ADDRESS(ROW(), 34+$H291), ""[A-Z]+"")"),"AH")</f>
        <v>AH</v>
      </c>
      <c r="N291" s="89" t="str">
        <f aca="false">IFERROR(__xludf.dummyfunction("REGEXEXTRACT(ADDRESS(ROW(), 37+$H291), ""[A-Z]+"")"),"AK")</f>
        <v>AK</v>
      </c>
      <c r="O291" s="89" t="str">
        <f aca="false">IFERROR(__xludf.dummyfunction("REGEXEXTRACT(ADDRESS(ROW(), 38+$H291), ""[A-Z]+"")"),"AL")</f>
        <v>AL</v>
      </c>
      <c r="P291" s="89" t="str">
        <f aca="false">IFERROR(__xludf.dummyfunction("REGEXEXTRACT(ADDRESS(ROW(), 39+$H291), ""[A-Z]+"")"),"AM")</f>
        <v>AM</v>
      </c>
      <c r="Q291" s="89" t="str">
        <f aca="false">IFERROR(__xludf.dummyfunction("REGEXEXTRACT(ADDRESS(ROW(), 40+$H291), ""[A-Z]+"")"),"AN")</f>
        <v>AN</v>
      </c>
      <c r="R291" s="89" t="str">
        <f aca="false">IFERROR(__xludf.dummyfunction("IFERROR(QUERY(INDIRECT(""'""&amp;$F291&amp;""'!C3:""&amp;Q291&amp;""""), ""SELECT ""&amp;I291&amp;"", ""&amp;J291&amp;"", ""&amp;K291&amp;"", ""&amp;L291&amp;"", ""&amp;M291&amp;"", ""&amp;N291&amp;"", ""&amp;O291&amp;"", ""&amp;P291&amp;"" WHERE '""&amp;B291&amp;""' CONTAINS D"", 0), """")"),"")</f>
        <v/>
      </c>
      <c r="S291" s="89"/>
      <c r="T291" s="89"/>
      <c r="U291" s="89"/>
      <c r="V291" s="89" t="n">
        <f aca="false">IFERROR(__xludf.dummyfunction("""COMPUTED_VALUE"""),0)</f>
        <v>0</v>
      </c>
      <c r="W291" s="89"/>
      <c r="X291" s="89"/>
      <c r="Y291" s="89" t="n">
        <f aca="false">IFERROR(__xludf.dummyfunction("""COMPUTED_VALUE"""),0)</f>
        <v>0</v>
      </c>
    </row>
    <row r="292" customFormat="false" ht="17.9" hidden="false" customHeight="false" outlineLevel="0" collapsed="false">
      <c r="A292" s="85" t="n">
        <v>291</v>
      </c>
      <c r="B292" s="85" t="n">
        <v>467342</v>
      </c>
      <c r="C292" s="86" t="s">
        <v>392</v>
      </c>
      <c r="D292" s="87" t="s">
        <v>100</v>
      </c>
      <c r="E292" s="88" t="str">
        <f aca="false">D292</f>
        <v>P3112</v>
      </c>
      <c r="F292" s="88" t="str">
        <f aca="false">REPLACE(E292, 1, 3, "")</f>
        <v>12</v>
      </c>
      <c r="G292" s="89" t="str">
        <f aca="true">IFERROR(VLOOKUP(B292,INDIRECT("'"&amp;$F292&amp;"'!D3:D"),1,FALSE()), "Not found")</f>
        <v>Not found</v>
      </c>
      <c r="H292" s="89" t="n">
        <f aca="true">INDIRECT("'"&amp;$F292&amp;"'!D1")</f>
        <v>0</v>
      </c>
      <c r="I292" s="89" t="str">
        <f aca="false">IFERROR(__xludf.dummyfunction("REGEXEXTRACT(ADDRESS(ROW(), 19+$H292), ""[A-Z]+"")"),"S")</f>
        <v>S</v>
      </c>
      <c r="J292" s="89" t="str">
        <f aca="false">IFERROR(__xludf.dummyfunction("REGEXEXTRACT(ADDRESS(ROW(), 25+$H292), ""[A-Z]+"")"),"Y")</f>
        <v>Y</v>
      </c>
      <c r="K292" s="89" t="str">
        <f aca="false">IFERROR(__xludf.dummyfunction("REGEXEXTRACT(ADDRESS(ROW(), 27+$H292), ""[A-Z]+"")"),"AA")</f>
        <v>AA</v>
      </c>
      <c r="L292" s="89" t="str">
        <f aca="false">IFERROR(__xludf.dummyfunction("REGEXEXTRACT(ADDRESS(ROW(), 28+$H292), ""[A-Z]+"")"),"AB")</f>
        <v>AB</v>
      </c>
      <c r="M292" s="89" t="str">
        <f aca="false">IFERROR(__xludf.dummyfunction("REGEXEXTRACT(ADDRESS(ROW(), 34+$H292), ""[A-Z]+"")"),"AH")</f>
        <v>AH</v>
      </c>
      <c r="N292" s="89" t="str">
        <f aca="false">IFERROR(__xludf.dummyfunction("REGEXEXTRACT(ADDRESS(ROW(), 37+$H292), ""[A-Z]+"")"),"AK")</f>
        <v>AK</v>
      </c>
      <c r="O292" s="89" t="str">
        <f aca="false">IFERROR(__xludf.dummyfunction("REGEXEXTRACT(ADDRESS(ROW(), 38+$H292), ""[A-Z]+"")"),"AL")</f>
        <v>AL</v>
      </c>
      <c r="P292" s="89" t="str">
        <f aca="false">IFERROR(__xludf.dummyfunction("REGEXEXTRACT(ADDRESS(ROW(), 39+$H292), ""[A-Z]+"")"),"AM")</f>
        <v>AM</v>
      </c>
      <c r="Q292" s="89" t="str">
        <f aca="false">IFERROR(__xludf.dummyfunction("REGEXEXTRACT(ADDRESS(ROW(), 40+$H292), ""[A-Z]+"")"),"AN")</f>
        <v>AN</v>
      </c>
      <c r="R292" s="89" t="n">
        <f aca="false">IFERROR(__xludf.dummyfunction("IFERROR(QUERY(INDIRECT(""'""&amp;$F292&amp;""'!C3:""&amp;Q292&amp;""""), ""SELECT ""&amp;I292&amp;"", ""&amp;J292&amp;"", ""&amp;K292&amp;"", ""&amp;L292&amp;"", ""&amp;M292&amp;"", ""&amp;N292&amp;"", ""&amp;O292&amp;"", ""&amp;P292&amp;"" WHERE '""&amp;B292&amp;""' CONTAINS D"", 0), """")"),20)</f>
        <v>20</v>
      </c>
      <c r="S292" s="89" t="n">
        <f aca="false">IFERROR(__xludf.dummyfunction("""COMPUTED_VALUE"""),19)</f>
        <v>19</v>
      </c>
      <c r="T292" s="89"/>
      <c r="U292" s="89"/>
      <c r="V292" s="89" t="n">
        <f aca="false">IFERROR(__xludf.dummyfunction("""COMPUTED_VALUE"""),10)</f>
        <v>10</v>
      </c>
      <c r="W292" s="89"/>
      <c r="X292" s="89" t="n">
        <f aca="false">IFERROR(__xludf.dummyfunction("""COMPUTED_VALUE"""),40)</f>
        <v>40</v>
      </c>
      <c r="Y292" s="89" t="n">
        <f aca="false">IFERROR(__xludf.dummyfunction("""COMPUTED_VALUE"""),89)</f>
        <v>89</v>
      </c>
    </row>
    <row r="293" customFormat="false" ht="17.9" hidden="false" customHeight="false" outlineLevel="0" collapsed="false">
      <c r="A293" s="85" t="n">
        <v>292</v>
      </c>
      <c r="B293" s="85" t="n">
        <v>408067</v>
      </c>
      <c r="C293" s="86" t="s">
        <v>393</v>
      </c>
      <c r="D293" s="87" t="s">
        <v>87</v>
      </c>
      <c r="E293" s="88" t="str">
        <f aca="false">D293</f>
        <v>P3130</v>
      </c>
      <c r="F293" s="88" t="str">
        <f aca="false">REPLACE(E293, 1, 3, "")</f>
        <v>30</v>
      </c>
      <c r="G293" s="89" t="str">
        <f aca="true">IFERROR(VLOOKUP(B293,INDIRECT("'"&amp;$F293&amp;"'!D3:D"),1,FALSE()), "Not found")</f>
        <v>Not found</v>
      </c>
      <c r="H293" s="89" t="n">
        <f aca="true">INDIRECT("'"&amp;$F293&amp;"'!D1")</f>
        <v>0</v>
      </c>
      <c r="I293" s="89" t="str">
        <f aca="false">IFERROR(__xludf.dummyfunction("REGEXEXTRACT(ADDRESS(ROW(), 19+$H293), ""[A-Z]+"")"),"S")</f>
        <v>S</v>
      </c>
      <c r="J293" s="89" t="str">
        <f aca="false">IFERROR(__xludf.dummyfunction("REGEXEXTRACT(ADDRESS(ROW(), 25+$H293), ""[A-Z]+"")"),"Y")</f>
        <v>Y</v>
      </c>
      <c r="K293" s="89" t="str">
        <f aca="false">IFERROR(__xludf.dummyfunction("REGEXEXTRACT(ADDRESS(ROW(), 27+$H293), ""[A-Z]+"")"),"AA")</f>
        <v>AA</v>
      </c>
      <c r="L293" s="89" t="str">
        <f aca="false">IFERROR(__xludf.dummyfunction("REGEXEXTRACT(ADDRESS(ROW(), 28+$H293), ""[A-Z]+"")"),"AB")</f>
        <v>AB</v>
      </c>
      <c r="M293" s="89" t="str">
        <f aca="false">IFERROR(__xludf.dummyfunction("REGEXEXTRACT(ADDRESS(ROW(), 34+$H293), ""[A-Z]+"")"),"AH")</f>
        <v>AH</v>
      </c>
      <c r="N293" s="89" t="str">
        <f aca="false">IFERROR(__xludf.dummyfunction("REGEXEXTRACT(ADDRESS(ROW(), 37+$H293), ""[A-Z]+"")"),"AK")</f>
        <v>AK</v>
      </c>
      <c r="O293" s="89" t="str">
        <f aca="false">IFERROR(__xludf.dummyfunction("REGEXEXTRACT(ADDRESS(ROW(), 38+$H293), ""[A-Z]+"")"),"AL")</f>
        <v>AL</v>
      </c>
      <c r="P293" s="89" t="str">
        <f aca="false">IFERROR(__xludf.dummyfunction("REGEXEXTRACT(ADDRESS(ROW(), 39+$H293), ""[A-Z]+"")"),"AM")</f>
        <v>AM</v>
      </c>
      <c r="Q293" s="89" t="str">
        <f aca="false">IFERROR(__xludf.dummyfunction("REGEXEXTRACT(ADDRESS(ROW(), 40+$H293), ""[A-Z]+"")"),"AN")</f>
        <v>AN</v>
      </c>
      <c r="R293" s="89" t="n">
        <f aca="false">IFERROR(__xludf.dummyfunction("IFERROR(QUERY(INDIRECT(""'""&amp;$F293&amp;""'!C3:""&amp;Q293&amp;""""), ""SELECT ""&amp;I293&amp;"", ""&amp;J293&amp;"", ""&amp;K293&amp;"", ""&amp;L293&amp;"", ""&amp;M293&amp;"", ""&amp;N293&amp;"", ""&amp;O293&amp;"", ""&amp;P293&amp;"" WHERE '""&amp;B293&amp;""' CONTAINS D"", 0), """")"),16.5)</f>
        <v>16.5</v>
      </c>
      <c r="S293" s="89" t="n">
        <f aca="false">IFERROR(__xludf.dummyfunction("""COMPUTED_VALUE"""),12)</f>
        <v>12</v>
      </c>
      <c r="T293" s="89"/>
      <c r="U293" s="89"/>
      <c r="V293" s="89" t="n">
        <f aca="false">IFERROR(__xludf.dummyfunction("""COMPUTED_VALUE"""),6)</f>
        <v>6</v>
      </c>
      <c r="W293" s="89"/>
      <c r="X293" s="89" t="n">
        <f aca="false">IFERROR(__xludf.dummyfunction("""COMPUTED_VALUE"""),30)</f>
        <v>30</v>
      </c>
      <c r="Y293" s="89" t="n">
        <f aca="false">IFERROR(__xludf.dummyfunction("""COMPUTED_VALUE"""),64.5)</f>
        <v>64.5</v>
      </c>
    </row>
    <row r="294" customFormat="false" ht="17.9" hidden="false" customHeight="false" outlineLevel="0" collapsed="false">
      <c r="A294" s="85" t="n">
        <v>293</v>
      </c>
      <c r="B294" s="85" t="n">
        <v>467351</v>
      </c>
      <c r="C294" s="86" t="s">
        <v>394</v>
      </c>
      <c r="D294" s="87" t="s">
        <v>102</v>
      </c>
      <c r="E294" s="88" t="str">
        <f aca="false">D294</f>
        <v>P3110</v>
      </c>
      <c r="F294" s="88" t="str">
        <f aca="false">REPLACE(E294, 1, 3, "")</f>
        <v>10</v>
      </c>
      <c r="G294" s="89" t="str">
        <f aca="true">IFERROR(VLOOKUP(B294,INDIRECT("'"&amp;$F294&amp;"'!D3:D"),1,FALSE()), "Not found")</f>
        <v>Not found</v>
      </c>
      <c r="H294" s="89" t="n">
        <f aca="true">INDIRECT("'"&amp;$F294&amp;"'!D1")</f>
        <v>0</v>
      </c>
      <c r="I294" s="89" t="str">
        <f aca="false">IFERROR(__xludf.dummyfunction("REGEXEXTRACT(ADDRESS(ROW(), 19+$H294), ""[A-Z]+"")"),"S")</f>
        <v>S</v>
      </c>
      <c r="J294" s="89" t="str">
        <f aca="false">IFERROR(__xludf.dummyfunction("REGEXEXTRACT(ADDRESS(ROW(), 25+$H294), ""[A-Z]+"")"),"Y")</f>
        <v>Y</v>
      </c>
      <c r="K294" s="89" t="str">
        <f aca="false">IFERROR(__xludf.dummyfunction("REGEXEXTRACT(ADDRESS(ROW(), 27+$H294), ""[A-Z]+"")"),"AA")</f>
        <v>AA</v>
      </c>
      <c r="L294" s="89" t="str">
        <f aca="false">IFERROR(__xludf.dummyfunction("REGEXEXTRACT(ADDRESS(ROW(), 28+$H294), ""[A-Z]+"")"),"AB")</f>
        <v>AB</v>
      </c>
      <c r="M294" s="89" t="str">
        <f aca="false">IFERROR(__xludf.dummyfunction("REGEXEXTRACT(ADDRESS(ROW(), 34+$H294), ""[A-Z]+"")"),"AH")</f>
        <v>AH</v>
      </c>
      <c r="N294" s="89" t="str">
        <f aca="false">IFERROR(__xludf.dummyfunction("REGEXEXTRACT(ADDRESS(ROW(), 37+$H294), ""[A-Z]+"")"),"AK")</f>
        <v>AK</v>
      </c>
      <c r="O294" s="89" t="str">
        <f aca="false">IFERROR(__xludf.dummyfunction("REGEXEXTRACT(ADDRESS(ROW(), 38+$H294), ""[A-Z]+"")"),"AL")</f>
        <v>AL</v>
      </c>
      <c r="P294" s="89" t="str">
        <f aca="false">IFERROR(__xludf.dummyfunction("REGEXEXTRACT(ADDRESS(ROW(), 39+$H294), ""[A-Z]+"")"),"AM")</f>
        <v>AM</v>
      </c>
      <c r="Q294" s="89" t="str">
        <f aca="false">IFERROR(__xludf.dummyfunction("REGEXEXTRACT(ADDRESS(ROW(), 40+$H294), ""[A-Z]+"")"),"AN")</f>
        <v>AN</v>
      </c>
      <c r="R294" s="89" t="n">
        <f aca="false">IFERROR(__xludf.dummyfunction("IFERROR(QUERY(INDIRECT(""'""&amp;$F294&amp;""'!C3:""&amp;Q294&amp;""""), ""SELECT ""&amp;I294&amp;"", ""&amp;J294&amp;"", ""&amp;K294&amp;"", ""&amp;L294&amp;"", ""&amp;M294&amp;"", ""&amp;N294&amp;"", ""&amp;O294&amp;"", ""&amp;P294&amp;"" WHERE '""&amp;B294&amp;""' CONTAINS D"", 0), """")"),18)</f>
        <v>18</v>
      </c>
      <c r="S294" s="89" t="n">
        <f aca="false">IFERROR(__xludf.dummyfunction("""COMPUTED_VALUE"""),17)</f>
        <v>17</v>
      </c>
      <c r="T294" s="89"/>
      <c r="U294" s="89"/>
      <c r="V294" s="89" t="n">
        <f aca="false">IFERROR(__xludf.dummyfunction("""COMPUTED_VALUE"""),10)</f>
        <v>10</v>
      </c>
      <c r="W294" s="89"/>
      <c r="X294" s="89" t="n">
        <f aca="false">IFERROR(__xludf.dummyfunction("""COMPUTED_VALUE"""),40)</f>
        <v>40</v>
      </c>
      <c r="Y294" s="89" t="n">
        <f aca="false">IFERROR(__xludf.dummyfunction("""COMPUTED_VALUE"""),85)</f>
        <v>85</v>
      </c>
    </row>
    <row r="295" customFormat="false" ht="17.9" hidden="false" customHeight="false" outlineLevel="0" collapsed="false">
      <c r="A295" s="85" t="n">
        <v>294</v>
      </c>
      <c r="B295" s="85" t="n">
        <v>467353</v>
      </c>
      <c r="C295" s="86" t="s">
        <v>395</v>
      </c>
      <c r="D295" s="87" t="s">
        <v>130</v>
      </c>
      <c r="E295" s="88" t="str">
        <f aca="false">D295</f>
        <v>P3117</v>
      </c>
      <c r="F295" s="88" t="str">
        <f aca="false">REPLACE(E295, 1, 3, "")</f>
        <v>17</v>
      </c>
      <c r="G295" s="89" t="str">
        <f aca="true">IFERROR(VLOOKUP(B295,INDIRECT("'"&amp;$F295&amp;"'!D3:D"),1,FALSE()), "Not found")</f>
        <v>Not found</v>
      </c>
      <c r="H295" s="89" t="n">
        <f aca="true">INDIRECT("'"&amp;$F295&amp;"'!D1")</f>
        <v>1</v>
      </c>
      <c r="I295" s="89" t="str">
        <f aca="false">IFERROR(__xludf.dummyfunction("REGEXEXTRACT(ADDRESS(ROW(), 19+$H295), ""[A-Z]+"")"),"T")</f>
        <v>T</v>
      </c>
      <c r="J295" s="89" t="str">
        <f aca="false">IFERROR(__xludf.dummyfunction("REGEXEXTRACT(ADDRESS(ROW(), 25+$H295), ""[A-Z]+"")"),"Z")</f>
        <v>Z</v>
      </c>
      <c r="K295" s="89" t="str">
        <f aca="false">IFERROR(__xludf.dummyfunction("REGEXEXTRACT(ADDRESS(ROW(), 27+$H295), ""[A-Z]+"")"),"AB")</f>
        <v>AB</v>
      </c>
      <c r="L295" s="89" t="str">
        <f aca="false">IFERROR(__xludf.dummyfunction("REGEXEXTRACT(ADDRESS(ROW(), 28+$H295), ""[A-Z]+"")"),"AC")</f>
        <v>AC</v>
      </c>
      <c r="M295" s="89" t="str">
        <f aca="false">IFERROR(__xludf.dummyfunction("REGEXEXTRACT(ADDRESS(ROW(), 34+$H295), ""[A-Z]+"")"),"AI")</f>
        <v>AI</v>
      </c>
      <c r="N295" s="89" t="str">
        <f aca="false">IFERROR(__xludf.dummyfunction("REGEXEXTRACT(ADDRESS(ROW(), 37+$H295), ""[A-Z]+"")"),"AL")</f>
        <v>AL</v>
      </c>
      <c r="O295" s="89" t="str">
        <f aca="false">IFERROR(__xludf.dummyfunction("REGEXEXTRACT(ADDRESS(ROW(), 38+$H295), ""[A-Z]+"")"),"AM")</f>
        <v>AM</v>
      </c>
      <c r="P295" s="89" t="str">
        <f aca="false">IFERROR(__xludf.dummyfunction("REGEXEXTRACT(ADDRESS(ROW(), 39+$H295), ""[A-Z]+"")"),"AN")</f>
        <v>AN</v>
      </c>
      <c r="Q295" s="89" t="str">
        <f aca="false">IFERROR(__xludf.dummyfunction("REGEXEXTRACT(ADDRESS(ROW(), 40+$H295), ""[A-Z]+"")"),"AO")</f>
        <v>AO</v>
      </c>
      <c r="R295" s="89" t="n">
        <f aca="false">IFERROR(__xludf.dummyfunction("IFERROR(QUERY(INDIRECT(""'""&amp;$F295&amp;""'!C3:""&amp;Q295&amp;""""), ""SELECT ""&amp;I295&amp;"", ""&amp;J295&amp;"", ""&amp;K295&amp;"", ""&amp;L295&amp;"", ""&amp;M295&amp;"", ""&amp;N295&amp;"", ""&amp;O295&amp;"", ""&amp;P295&amp;"" WHERE '""&amp;B295&amp;""' CONTAINS D"", 0), """")"),19.6)</f>
        <v>19.6</v>
      </c>
      <c r="S295" s="89" t="n">
        <f aca="false">IFERROR(__xludf.dummyfunction("""COMPUTED_VALUE"""),19)</f>
        <v>19</v>
      </c>
      <c r="T295" s="89"/>
      <c r="U295" s="89"/>
      <c r="V295" s="89" t="n">
        <f aca="false">IFERROR(__xludf.dummyfunction("""COMPUTED_VALUE"""),6)</f>
        <v>6</v>
      </c>
      <c r="W295" s="89"/>
      <c r="X295" s="89" t="n">
        <f aca="false">IFERROR(__xludf.dummyfunction("""COMPUTED_VALUE"""),24)</f>
        <v>24</v>
      </c>
      <c r="Y295" s="89" t="n">
        <f aca="false">IFERROR(__xludf.dummyfunction("""COMPUTED_VALUE"""),68.6)</f>
        <v>68.6</v>
      </c>
    </row>
    <row r="296" customFormat="false" ht="17.9" hidden="false" customHeight="false" outlineLevel="0" collapsed="false">
      <c r="A296" s="85" t="n">
        <v>295</v>
      </c>
      <c r="B296" s="85" t="n">
        <v>467363</v>
      </c>
      <c r="C296" s="86" t="s">
        <v>396</v>
      </c>
      <c r="D296" s="87" t="s">
        <v>146</v>
      </c>
      <c r="E296" s="88" t="str">
        <f aca="false">D296</f>
        <v>P3113</v>
      </c>
      <c r="F296" s="88" t="str">
        <f aca="false">REPLACE(E296, 1, 3, "")</f>
        <v>13</v>
      </c>
      <c r="G296" s="89" t="str">
        <f aca="true">IFERROR(VLOOKUP(B296,INDIRECT("'"&amp;$F296&amp;"'!D3:D"),1,FALSE()), "Not found")</f>
        <v>Not found</v>
      </c>
      <c r="H296" s="89" t="n">
        <f aca="true">INDIRECT("'"&amp;$F296&amp;"'!D1")</f>
        <v>0</v>
      </c>
      <c r="I296" s="89" t="str">
        <f aca="false">IFERROR(__xludf.dummyfunction("REGEXEXTRACT(ADDRESS(ROW(), 19+$H296), ""[A-Z]+"")"),"S")</f>
        <v>S</v>
      </c>
      <c r="J296" s="89" t="str">
        <f aca="false">IFERROR(__xludf.dummyfunction("REGEXEXTRACT(ADDRESS(ROW(), 25+$H296), ""[A-Z]+"")"),"Y")</f>
        <v>Y</v>
      </c>
      <c r="K296" s="89" t="str">
        <f aca="false">IFERROR(__xludf.dummyfunction("REGEXEXTRACT(ADDRESS(ROW(), 27+$H296), ""[A-Z]+"")"),"AA")</f>
        <v>AA</v>
      </c>
      <c r="L296" s="89" t="str">
        <f aca="false">IFERROR(__xludf.dummyfunction("REGEXEXTRACT(ADDRESS(ROW(), 28+$H296), ""[A-Z]+"")"),"AB")</f>
        <v>AB</v>
      </c>
      <c r="M296" s="89" t="str">
        <f aca="false">IFERROR(__xludf.dummyfunction("REGEXEXTRACT(ADDRESS(ROW(), 34+$H296), ""[A-Z]+"")"),"AH")</f>
        <v>AH</v>
      </c>
      <c r="N296" s="89" t="str">
        <f aca="false">IFERROR(__xludf.dummyfunction("REGEXEXTRACT(ADDRESS(ROW(), 37+$H296), ""[A-Z]+"")"),"AK")</f>
        <v>AK</v>
      </c>
      <c r="O296" s="89" t="str">
        <f aca="false">IFERROR(__xludf.dummyfunction("REGEXEXTRACT(ADDRESS(ROW(), 38+$H296), ""[A-Z]+"")"),"AL")</f>
        <v>AL</v>
      </c>
      <c r="P296" s="89" t="str">
        <f aca="false">IFERROR(__xludf.dummyfunction("REGEXEXTRACT(ADDRESS(ROW(), 39+$H296), ""[A-Z]+"")"),"AM")</f>
        <v>AM</v>
      </c>
      <c r="Q296" s="89" t="str">
        <f aca="false">IFERROR(__xludf.dummyfunction("REGEXEXTRACT(ADDRESS(ROW(), 40+$H296), ""[A-Z]+"")"),"AN")</f>
        <v>AN</v>
      </c>
      <c r="R296" s="89" t="n">
        <f aca="false">IFERROR(__xludf.dummyfunction("IFERROR(QUERY(INDIRECT(""'""&amp;$F296&amp;""'!C3:""&amp;Q296&amp;""""), ""SELECT ""&amp;I296&amp;"", ""&amp;J296&amp;"", ""&amp;K296&amp;"", ""&amp;L296&amp;"", ""&amp;M296&amp;"", ""&amp;N296&amp;"", ""&amp;O296&amp;"", ""&amp;P296&amp;"" WHERE '""&amp;B296&amp;""' CONTAINS D"", 0), """")"),18)</f>
        <v>18</v>
      </c>
      <c r="S296" s="89" t="n">
        <f aca="false">IFERROR(__xludf.dummyfunction("""COMPUTED_VALUE"""),17)</f>
        <v>17</v>
      </c>
      <c r="T296" s="89"/>
      <c r="U296" s="89"/>
      <c r="V296" s="89" t="n">
        <f aca="false">IFERROR(__xludf.dummyfunction("""COMPUTED_VALUE"""),6)</f>
        <v>6</v>
      </c>
      <c r="W296" s="89"/>
      <c r="X296" s="89" t="n">
        <f aca="false">IFERROR(__xludf.dummyfunction("""COMPUTED_VALUE"""),38)</f>
        <v>38</v>
      </c>
      <c r="Y296" s="89" t="n">
        <f aca="false">IFERROR(__xludf.dummyfunction("""COMPUTED_VALUE"""),79)</f>
        <v>79</v>
      </c>
    </row>
    <row r="297" customFormat="false" ht="17.9" hidden="false" customHeight="false" outlineLevel="0" collapsed="false">
      <c r="A297" s="85" t="n">
        <v>296</v>
      </c>
      <c r="B297" s="85" t="n">
        <v>467371</v>
      </c>
      <c r="C297" s="86" t="s">
        <v>397</v>
      </c>
      <c r="D297" s="87" t="s">
        <v>151</v>
      </c>
      <c r="E297" s="88" t="str">
        <f aca="false">D297</f>
        <v>P3122</v>
      </c>
      <c r="F297" s="88" t="str">
        <f aca="false">REPLACE(E297, 1, 3, "")</f>
        <v>22</v>
      </c>
      <c r="G297" s="89" t="str">
        <f aca="true">IFERROR(VLOOKUP(B297,INDIRECT("'"&amp;$F297&amp;"'!D3:D"),1,FALSE()), "Not found")</f>
        <v>Not found</v>
      </c>
      <c r="H297" s="89" t="n">
        <f aca="true">INDIRECT("'"&amp;$F297&amp;"'!D1")</f>
        <v>0</v>
      </c>
      <c r="I297" s="89" t="str">
        <f aca="false">IFERROR(__xludf.dummyfunction("REGEXEXTRACT(ADDRESS(ROW(), 19+$H297), ""[A-Z]+"")"),"S")</f>
        <v>S</v>
      </c>
      <c r="J297" s="89" t="str">
        <f aca="false">IFERROR(__xludf.dummyfunction("REGEXEXTRACT(ADDRESS(ROW(), 25+$H297), ""[A-Z]+"")"),"Y")</f>
        <v>Y</v>
      </c>
      <c r="K297" s="89" t="str">
        <f aca="false">IFERROR(__xludf.dummyfunction("REGEXEXTRACT(ADDRESS(ROW(), 27+$H297), ""[A-Z]+"")"),"AA")</f>
        <v>AA</v>
      </c>
      <c r="L297" s="89" t="str">
        <f aca="false">IFERROR(__xludf.dummyfunction("REGEXEXTRACT(ADDRESS(ROW(), 28+$H297), ""[A-Z]+"")"),"AB")</f>
        <v>AB</v>
      </c>
      <c r="M297" s="89" t="str">
        <f aca="false">IFERROR(__xludf.dummyfunction("REGEXEXTRACT(ADDRESS(ROW(), 34+$H297), ""[A-Z]+"")"),"AH")</f>
        <v>AH</v>
      </c>
      <c r="N297" s="89" t="str">
        <f aca="false">IFERROR(__xludf.dummyfunction("REGEXEXTRACT(ADDRESS(ROW(), 37+$H297), ""[A-Z]+"")"),"AK")</f>
        <v>AK</v>
      </c>
      <c r="O297" s="89" t="str">
        <f aca="false">IFERROR(__xludf.dummyfunction("REGEXEXTRACT(ADDRESS(ROW(), 38+$H297), ""[A-Z]+"")"),"AL")</f>
        <v>AL</v>
      </c>
      <c r="P297" s="89" t="str">
        <f aca="false">IFERROR(__xludf.dummyfunction("REGEXEXTRACT(ADDRESS(ROW(), 39+$H297), ""[A-Z]+"")"),"AM")</f>
        <v>AM</v>
      </c>
      <c r="Q297" s="89" t="str">
        <f aca="false">IFERROR(__xludf.dummyfunction("REGEXEXTRACT(ADDRESS(ROW(), 40+$H297), ""[A-Z]+"")"),"AN")</f>
        <v>AN</v>
      </c>
      <c r="R297" s="89" t="n">
        <f aca="false">IFERROR(__xludf.dummyfunction("IFERROR(QUERY(INDIRECT(""'""&amp;$F297&amp;""'!C3:""&amp;Q297&amp;""""), ""SELECT ""&amp;I297&amp;"", ""&amp;J297&amp;"", ""&amp;K297&amp;"", ""&amp;L297&amp;"", ""&amp;M297&amp;"", ""&amp;N297&amp;"", ""&amp;O297&amp;"", ""&amp;P297&amp;"" WHERE '""&amp;B297&amp;""' CONTAINS D"", 0), """")"),20)</f>
        <v>20</v>
      </c>
      <c r="S297" s="89" t="n">
        <f aca="false">IFERROR(__xludf.dummyfunction("""COMPUTED_VALUE"""),20)</f>
        <v>20</v>
      </c>
      <c r="T297" s="89"/>
      <c r="U297" s="89"/>
      <c r="V297" s="89" t="n">
        <f aca="false">IFERROR(__xludf.dummyfunction("""COMPUTED_VALUE"""),6)</f>
        <v>6</v>
      </c>
      <c r="W297" s="89"/>
      <c r="X297" s="89" t="n">
        <f aca="false">IFERROR(__xludf.dummyfunction("""COMPUTED_VALUE"""),40)</f>
        <v>40</v>
      </c>
      <c r="Y297" s="89" t="n">
        <f aca="false">IFERROR(__xludf.dummyfunction("""COMPUTED_VALUE"""),86)</f>
        <v>86</v>
      </c>
    </row>
    <row r="298" customFormat="false" ht="17.9" hidden="false" customHeight="false" outlineLevel="0" collapsed="false">
      <c r="A298" s="85" t="n">
        <v>297</v>
      </c>
      <c r="B298" s="85" t="n">
        <v>467381</v>
      </c>
      <c r="C298" s="86" t="s">
        <v>398</v>
      </c>
      <c r="D298" s="87" t="s">
        <v>119</v>
      </c>
      <c r="E298" s="88" t="str">
        <f aca="false">D298</f>
        <v>P3121</v>
      </c>
      <c r="F298" s="88" t="str">
        <f aca="false">REPLACE(E298, 1, 3, "")</f>
        <v>21</v>
      </c>
      <c r="G298" s="89" t="str">
        <f aca="true">IFERROR(VLOOKUP(B298,INDIRECT("'"&amp;$F298&amp;"'!D3:D"),1,FALSE()), "Not found")</f>
        <v>Not found</v>
      </c>
      <c r="H298" s="89" t="n">
        <f aca="true">INDIRECT("'"&amp;$F298&amp;"'!D1")</f>
        <v>5</v>
      </c>
      <c r="I298" s="89" t="str">
        <f aca="false">IFERROR(__xludf.dummyfunction("REGEXEXTRACT(ADDRESS(ROW(), 19+$H298), ""[A-Z]+"")"),"X")</f>
        <v>X</v>
      </c>
      <c r="J298" s="89" t="str">
        <f aca="false">IFERROR(__xludf.dummyfunction("REGEXEXTRACT(ADDRESS(ROW(), 25+$H298), ""[A-Z]+"")"),"AD")</f>
        <v>AD</v>
      </c>
      <c r="K298" s="89" t="str">
        <f aca="false">IFERROR(__xludf.dummyfunction("REGEXEXTRACT(ADDRESS(ROW(), 27+$H298), ""[A-Z]+"")"),"AF")</f>
        <v>AF</v>
      </c>
      <c r="L298" s="89" t="str">
        <f aca="false">IFERROR(__xludf.dummyfunction("REGEXEXTRACT(ADDRESS(ROW(), 28+$H298), ""[A-Z]+"")"),"AG")</f>
        <v>AG</v>
      </c>
      <c r="M298" s="89" t="str">
        <f aca="false">IFERROR(__xludf.dummyfunction("REGEXEXTRACT(ADDRESS(ROW(), 34+$H298), ""[A-Z]+"")"),"AM")</f>
        <v>AM</v>
      </c>
      <c r="N298" s="89" t="str">
        <f aca="false">IFERROR(__xludf.dummyfunction("REGEXEXTRACT(ADDRESS(ROW(), 37+$H298), ""[A-Z]+"")"),"AP")</f>
        <v>AP</v>
      </c>
      <c r="O298" s="89" t="str">
        <f aca="false">IFERROR(__xludf.dummyfunction("REGEXEXTRACT(ADDRESS(ROW(), 38+$H298), ""[A-Z]+"")"),"AQ")</f>
        <v>AQ</v>
      </c>
      <c r="P298" s="89" t="str">
        <f aca="false">IFERROR(__xludf.dummyfunction("REGEXEXTRACT(ADDRESS(ROW(), 39+$H298), ""[A-Z]+"")"),"AR")</f>
        <v>AR</v>
      </c>
      <c r="Q298" s="89" t="str">
        <f aca="false">IFERROR(__xludf.dummyfunction("REGEXEXTRACT(ADDRESS(ROW(), 40+$H298), ""[A-Z]+"")"),"AS")</f>
        <v>AS</v>
      </c>
      <c r="R298" s="89" t="n">
        <f aca="false">IFERROR(__xludf.dummyfunction("IFERROR(QUERY(INDIRECT(""'""&amp;$F298&amp;""'!C3:""&amp;Q298&amp;""""), ""SELECT ""&amp;I298&amp;"", ""&amp;J298&amp;"", ""&amp;K298&amp;"", ""&amp;L298&amp;"", ""&amp;M298&amp;"", ""&amp;N298&amp;"", ""&amp;O298&amp;"", ""&amp;P298&amp;"" WHERE '""&amp;B298&amp;""' CONTAINS D"", 0), """")"),14)</f>
        <v>14</v>
      </c>
      <c r="S298" s="89" t="n">
        <f aca="false">IFERROR(__xludf.dummyfunction("""COMPUTED_VALUE"""),18)</f>
        <v>18</v>
      </c>
      <c r="T298" s="89"/>
      <c r="U298" s="89"/>
      <c r="V298" s="89" t="n">
        <f aca="false">IFERROR(__xludf.dummyfunction("""COMPUTED_VALUE"""),6)</f>
        <v>6</v>
      </c>
      <c r="W298" s="89"/>
      <c r="X298" s="89" t="n">
        <f aca="false">IFERROR(__xludf.dummyfunction("""COMPUTED_VALUE"""),24)</f>
        <v>24</v>
      </c>
      <c r="Y298" s="89" t="n">
        <f aca="false">IFERROR(__xludf.dummyfunction("""COMPUTED_VALUE"""),62)</f>
        <v>62</v>
      </c>
    </row>
    <row r="299" customFormat="false" ht="17.9" hidden="false" customHeight="false" outlineLevel="0" collapsed="false">
      <c r="A299" s="85" t="n">
        <v>298</v>
      </c>
      <c r="B299" s="85" t="n">
        <v>467388</v>
      </c>
      <c r="C299" s="86" t="s">
        <v>399</v>
      </c>
      <c r="D299" s="87" t="s">
        <v>93</v>
      </c>
      <c r="E299" s="88" t="str">
        <f aca="false">D299</f>
        <v>P3114</v>
      </c>
      <c r="F299" s="88" t="str">
        <f aca="false">REPLACE(E299, 1, 3, "")</f>
        <v>14</v>
      </c>
      <c r="G299" s="89" t="str">
        <f aca="true">IFERROR(VLOOKUP(B299,INDIRECT("'"&amp;$F299&amp;"'!D3:D"),1,FALSE()), "Not found")</f>
        <v>Not found</v>
      </c>
      <c r="H299" s="89" t="n">
        <f aca="true">INDIRECT("'"&amp;$F299&amp;"'!D1")</f>
        <v>0</v>
      </c>
      <c r="I299" s="89" t="str">
        <f aca="false">IFERROR(__xludf.dummyfunction("REGEXEXTRACT(ADDRESS(ROW(), 19+$H299), ""[A-Z]+"")"),"S")</f>
        <v>S</v>
      </c>
      <c r="J299" s="89" t="str">
        <f aca="false">IFERROR(__xludf.dummyfunction("REGEXEXTRACT(ADDRESS(ROW(), 25+$H299), ""[A-Z]+"")"),"Y")</f>
        <v>Y</v>
      </c>
      <c r="K299" s="89" t="str">
        <f aca="false">IFERROR(__xludf.dummyfunction("REGEXEXTRACT(ADDRESS(ROW(), 27+$H299), ""[A-Z]+"")"),"AA")</f>
        <v>AA</v>
      </c>
      <c r="L299" s="89" t="str">
        <f aca="false">IFERROR(__xludf.dummyfunction("REGEXEXTRACT(ADDRESS(ROW(), 28+$H299), ""[A-Z]+"")"),"AB")</f>
        <v>AB</v>
      </c>
      <c r="M299" s="89" t="str">
        <f aca="false">IFERROR(__xludf.dummyfunction("REGEXEXTRACT(ADDRESS(ROW(), 34+$H299), ""[A-Z]+"")"),"AH")</f>
        <v>AH</v>
      </c>
      <c r="N299" s="89" t="str">
        <f aca="false">IFERROR(__xludf.dummyfunction("REGEXEXTRACT(ADDRESS(ROW(), 37+$H299), ""[A-Z]+"")"),"AK")</f>
        <v>AK</v>
      </c>
      <c r="O299" s="89" t="str">
        <f aca="false">IFERROR(__xludf.dummyfunction("REGEXEXTRACT(ADDRESS(ROW(), 38+$H299), ""[A-Z]+"")"),"AL")</f>
        <v>AL</v>
      </c>
      <c r="P299" s="89" t="str">
        <f aca="false">IFERROR(__xludf.dummyfunction("REGEXEXTRACT(ADDRESS(ROW(), 39+$H299), ""[A-Z]+"")"),"AM")</f>
        <v>AM</v>
      </c>
      <c r="Q299" s="89" t="str">
        <f aca="false">IFERROR(__xludf.dummyfunction("REGEXEXTRACT(ADDRESS(ROW(), 40+$H299), ""[A-Z]+"")"),"AN")</f>
        <v>AN</v>
      </c>
      <c r="R299" s="89" t="n">
        <f aca="false">IFERROR(__xludf.dummyfunction("IFERROR(QUERY(INDIRECT(""'""&amp;$F299&amp;""'!C3:""&amp;Q299&amp;""""), ""SELECT ""&amp;I299&amp;"", ""&amp;J299&amp;"", ""&amp;K299&amp;"", ""&amp;L299&amp;"", ""&amp;M299&amp;"", ""&amp;N299&amp;"", ""&amp;O299&amp;"", ""&amp;P299&amp;"" WHERE '""&amp;B299&amp;""' CONTAINS D"", 0), """")"),14)</f>
        <v>14</v>
      </c>
      <c r="S299" s="89" t="n">
        <f aca="false">IFERROR(__xludf.dummyfunction("""COMPUTED_VALUE"""),12)</f>
        <v>12</v>
      </c>
      <c r="T299" s="89"/>
      <c r="U299" s="89"/>
      <c r="V299" s="89" t="n">
        <f aca="false">IFERROR(__xludf.dummyfunction("""COMPUTED_VALUE"""),6)</f>
        <v>6</v>
      </c>
      <c r="W299" s="89"/>
      <c r="X299" s="89" t="n">
        <f aca="false">IFERROR(__xludf.dummyfunction("""COMPUTED_VALUE"""),28)</f>
        <v>28</v>
      </c>
      <c r="Y299" s="89" t="n">
        <f aca="false">IFERROR(__xludf.dummyfunction("""COMPUTED_VALUE"""),60)</f>
        <v>60</v>
      </c>
    </row>
    <row r="300" customFormat="false" ht="17.9" hidden="false" customHeight="false" outlineLevel="0" collapsed="false">
      <c r="A300" s="85" t="n">
        <v>299</v>
      </c>
      <c r="B300" s="85" t="n">
        <v>467392</v>
      </c>
      <c r="C300" s="86" t="s">
        <v>400</v>
      </c>
      <c r="D300" s="87" t="s">
        <v>87</v>
      </c>
      <c r="E300" s="88" t="str">
        <f aca="false">D300</f>
        <v>P3130</v>
      </c>
      <c r="F300" s="88" t="str">
        <f aca="false">REPLACE(E300, 1, 3, "")</f>
        <v>30</v>
      </c>
      <c r="G300" s="89" t="str">
        <f aca="true">IFERROR(VLOOKUP(B300,INDIRECT("'"&amp;$F300&amp;"'!D3:D"),1,FALSE()), "Not found")</f>
        <v>Not found</v>
      </c>
      <c r="H300" s="89" t="n">
        <f aca="true">INDIRECT("'"&amp;$F300&amp;"'!D1")</f>
        <v>0</v>
      </c>
      <c r="I300" s="89" t="str">
        <f aca="false">IFERROR(__xludf.dummyfunction("REGEXEXTRACT(ADDRESS(ROW(), 19+$H300), ""[A-Z]+"")"),"S")</f>
        <v>S</v>
      </c>
      <c r="J300" s="89" t="str">
        <f aca="false">IFERROR(__xludf.dummyfunction("REGEXEXTRACT(ADDRESS(ROW(), 25+$H300), ""[A-Z]+"")"),"Y")</f>
        <v>Y</v>
      </c>
      <c r="K300" s="89" t="str">
        <f aca="false">IFERROR(__xludf.dummyfunction("REGEXEXTRACT(ADDRESS(ROW(), 27+$H300), ""[A-Z]+"")"),"AA")</f>
        <v>AA</v>
      </c>
      <c r="L300" s="89" t="str">
        <f aca="false">IFERROR(__xludf.dummyfunction("REGEXEXTRACT(ADDRESS(ROW(), 28+$H300), ""[A-Z]+"")"),"AB")</f>
        <v>AB</v>
      </c>
      <c r="M300" s="89" t="str">
        <f aca="false">IFERROR(__xludf.dummyfunction("REGEXEXTRACT(ADDRESS(ROW(), 34+$H300), ""[A-Z]+"")"),"AH")</f>
        <v>AH</v>
      </c>
      <c r="N300" s="89" t="str">
        <f aca="false">IFERROR(__xludf.dummyfunction("REGEXEXTRACT(ADDRESS(ROW(), 37+$H300), ""[A-Z]+"")"),"AK")</f>
        <v>AK</v>
      </c>
      <c r="O300" s="89" t="str">
        <f aca="false">IFERROR(__xludf.dummyfunction("REGEXEXTRACT(ADDRESS(ROW(), 38+$H300), ""[A-Z]+"")"),"AL")</f>
        <v>AL</v>
      </c>
      <c r="P300" s="89" t="str">
        <f aca="false">IFERROR(__xludf.dummyfunction("REGEXEXTRACT(ADDRESS(ROW(), 39+$H300), ""[A-Z]+"")"),"AM")</f>
        <v>AM</v>
      </c>
      <c r="Q300" s="89" t="str">
        <f aca="false">IFERROR(__xludf.dummyfunction("REGEXEXTRACT(ADDRESS(ROW(), 40+$H300), ""[A-Z]+"")"),"AN")</f>
        <v>AN</v>
      </c>
      <c r="R300" s="89" t="n">
        <f aca="false">IFERROR(__xludf.dummyfunction("IFERROR(QUERY(INDIRECT(""'""&amp;$F300&amp;""'!C3:""&amp;Q300&amp;""""), ""SELECT ""&amp;I300&amp;"", ""&amp;J300&amp;"", ""&amp;K300&amp;"", ""&amp;L300&amp;"", ""&amp;M300&amp;"", ""&amp;N300&amp;"", ""&amp;O300&amp;"", ""&amp;P300&amp;"" WHERE '""&amp;B300&amp;""' CONTAINS D"", 0), """")"),19)</f>
        <v>19</v>
      </c>
      <c r="S300" s="89" t="n">
        <f aca="false">IFERROR(__xludf.dummyfunction("""COMPUTED_VALUE"""),19)</f>
        <v>19</v>
      </c>
      <c r="T300" s="89"/>
      <c r="U300" s="89"/>
      <c r="V300" s="89" t="n">
        <f aca="false">IFERROR(__xludf.dummyfunction("""COMPUTED_VALUE"""),6)</f>
        <v>6</v>
      </c>
      <c r="W300" s="89"/>
      <c r="X300" s="89" t="n">
        <f aca="false">IFERROR(__xludf.dummyfunction("""COMPUTED_VALUE"""),40)</f>
        <v>40</v>
      </c>
      <c r="Y300" s="89" t="n">
        <f aca="false">IFERROR(__xludf.dummyfunction("""COMPUTED_VALUE"""),84)</f>
        <v>84</v>
      </c>
    </row>
    <row r="301" customFormat="false" ht="17.9" hidden="false" customHeight="false" outlineLevel="0" collapsed="false">
      <c r="A301" s="85" t="n">
        <v>300</v>
      </c>
      <c r="B301" s="85" t="n">
        <v>467393</v>
      </c>
      <c r="C301" s="86" t="s">
        <v>401</v>
      </c>
      <c r="D301" s="87" t="s">
        <v>95</v>
      </c>
      <c r="E301" s="88" t="str">
        <f aca="false">D301</f>
        <v>P3106</v>
      </c>
      <c r="F301" s="88" t="str">
        <f aca="false">REPLACE(E301, 1, 3, "")</f>
        <v>06</v>
      </c>
      <c r="G301" s="89" t="str">
        <f aca="true">IFERROR(VLOOKUP(B301,INDIRECT("'"&amp;$F301&amp;"'!D3:D"),1,FALSE()), "Not found")</f>
        <v>Not found</v>
      </c>
      <c r="H301" s="89" t="n">
        <f aca="true">INDIRECT("'"&amp;$F301&amp;"'!D1")</f>
        <v>0</v>
      </c>
      <c r="I301" s="89" t="str">
        <f aca="false">IFERROR(__xludf.dummyfunction("REGEXEXTRACT(ADDRESS(ROW(), 19+$H301), ""[A-Z]+"")"),"S")</f>
        <v>S</v>
      </c>
      <c r="J301" s="89" t="str">
        <f aca="false">IFERROR(__xludf.dummyfunction("REGEXEXTRACT(ADDRESS(ROW(), 25+$H301), ""[A-Z]+"")"),"Y")</f>
        <v>Y</v>
      </c>
      <c r="K301" s="89" t="str">
        <f aca="false">IFERROR(__xludf.dummyfunction("REGEXEXTRACT(ADDRESS(ROW(), 27+$H301), ""[A-Z]+"")"),"AA")</f>
        <v>AA</v>
      </c>
      <c r="L301" s="89" t="str">
        <f aca="false">IFERROR(__xludf.dummyfunction("REGEXEXTRACT(ADDRESS(ROW(), 28+$H301), ""[A-Z]+"")"),"AB")</f>
        <v>AB</v>
      </c>
      <c r="M301" s="89" t="str">
        <f aca="false">IFERROR(__xludf.dummyfunction("REGEXEXTRACT(ADDRESS(ROW(), 34+$H301), ""[A-Z]+"")"),"AH")</f>
        <v>AH</v>
      </c>
      <c r="N301" s="89" t="str">
        <f aca="false">IFERROR(__xludf.dummyfunction("REGEXEXTRACT(ADDRESS(ROW(), 37+$H301), ""[A-Z]+"")"),"AK")</f>
        <v>AK</v>
      </c>
      <c r="O301" s="89" t="str">
        <f aca="false">IFERROR(__xludf.dummyfunction("REGEXEXTRACT(ADDRESS(ROW(), 38+$H301), ""[A-Z]+"")"),"AL")</f>
        <v>AL</v>
      </c>
      <c r="P301" s="89" t="str">
        <f aca="false">IFERROR(__xludf.dummyfunction("REGEXEXTRACT(ADDRESS(ROW(), 39+$H301), ""[A-Z]+"")"),"AM")</f>
        <v>AM</v>
      </c>
      <c r="Q301" s="89" t="str">
        <f aca="false">IFERROR(__xludf.dummyfunction("REGEXEXTRACT(ADDRESS(ROW(), 40+$H301), ""[A-Z]+"")"),"AN")</f>
        <v>AN</v>
      </c>
      <c r="R301" s="89" t="n">
        <f aca="false">IFERROR(__xludf.dummyfunction("IFERROR(QUERY(INDIRECT(""'""&amp;$F301&amp;""'!C3:""&amp;Q301&amp;""""), ""SELECT ""&amp;I301&amp;"", ""&amp;J301&amp;"", ""&amp;K301&amp;"", ""&amp;L301&amp;"", ""&amp;M301&amp;"", ""&amp;N301&amp;"", ""&amp;O301&amp;"", ""&amp;P301&amp;"" WHERE '""&amp;B301&amp;""' CONTAINS D"", 0), """")"),17)</f>
        <v>17</v>
      </c>
      <c r="S301" s="89" t="n">
        <f aca="false">IFERROR(__xludf.dummyfunction("""COMPUTED_VALUE"""),15)</f>
        <v>15</v>
      </c>
      <c r="T301" s="89"/>
      <c r="U301" s="89"/>
      <c r="V301" s="89" t="n">
        <f aca="false">IFERROR(__xludf.dummyfunction("""COMPUTED_VALUE"""),6)</f>
        <v>6</v>
      </c>
      <c r="W301" s="89"/>
      <c r="X301" s="89" t="n">
        <f aca="false">IFERROR(__xludf.dummyfunction("""COMPUTED_VALUE"""),34)</f>
        <v>34</v>
      </c>
      <c r="Y301" s="89" t="n">
        <f aca="false">IFERROR(__xludf.dummyfunction("""COMPUTED_VALUE"""),72)</f>
        <v>72</v>
      </c>
    </row>
    <row r="302" customFormat="false" ht="17.9" hidden="false" customHeight="false" outlineLevel="0" collapsed="false">
      <c r="A302" s="85" t="n">
        <v>301</v>
      </c>
      <c r="B302" s="85" t="n">
        <v>467409</v>
      </c>
      <c r="C302" s="86" t="s">
        <v>402</v>
      </c>
      <c r="D302" s="87" t="s">
        <v>125</v>
      </c>
      <c r="E302" s="88" t="str">
        <f aca="false">D302</f>
        <v>P3115</v>
      </c>
      <c r="F302" s="88" t="str">
        <f aca="false">REPLACE(E302, 1, 3, "")</f>
        <v>15</v>
      </c>
      <c r="G302" s="89" t="str">
        <f aca="true">IFERROR(VLOOKUP(B302,INDIRECT("'"&amp;$F302&amp;"'!D3:D"),1,FALSE()), "Not found")</f>
        <v>Not found</v>
      </c>
      <c r="H302" s="89" t="n">
        <f aca="true">INDIRECT("'"&amp;$F302&amp;"'!D1")</f>
        <v>1</v>
      </c>
      <c r="I302" s="89" t="str">
        <f aca="false">IFERROR(__xludf.dummyfunction("REGEXEXTRACT(ADDRESS(ROW(), 19+$H302), ""[A-Z]+"")"),"T")</f>
        <v>T</v>
      </c>
      <c r="J302" s="89" t="str">
        <f aca="false">IFERROR(__xludf.dummyfunction("REGEXEXTRACT(ADDRESS(ROW(), 25+$H302), ""[A-Z]+"")"),"Z")</f>
        <v>Z</v>
      </c>
      <c r="K302" s="89" t="str">
        <f aca="false">IFERROR(__xludf.dummyfunction("REGEXEXTRACT(ADDRESS(ROW(), 27+$H302), ""[A-Z]+"")"),"AB")</f>
        <v>AB</v>
      </c>
      <c r="L302" s="89" t="str">
        <f aca="false">IFERROR(__xludf.dummyfunction("REGEXEXTRACT(ADDRESS(ROW(), 28+$H302), ""[A-Z]+"")"),"AC")</f>
        <v>AC</v>
      </c>
      <c r="M302" s="89" t="str">
        <f aca="false">IFERROR(__xludf.dummyfunction("REGEXEXTRACT(ADDRESS(ROW(), 34+$H302), ""[A-Z]+"")"),"AI")</f>
        <v>AI</v>
      </c>
      <c r="N302" s="89" t="str">
        <f aca="false">IFERROR(__xludf.dummyfunction("REGEXEXTRACT(ADDRESS(ROW(), 37+$H302), ""[A-Z]+"")"),"AL")</f>
        <v>AL</v>
      </c>
      <c r="O302" s="89" t="str">
        <f aca="false">IFERROR(__xludf.dummyfunction("REGEXEXTRACT(ADDRESS(ROW(), 38+$H302), ""[A-Z]+"")"),"AM")</f>
        <v>AM</v>
      </c>
      <c r="P302" s="89" t="str">
        <f aca="false">IFERROR(__xludf.dummyfunction("REGEXEXTRACT(ADDRESS(ROW(), 39+$H302), ""[A-Z]+"")"),"AN")</f>
        <v>AN</v>
      </c>
      <c r="Q302" s="89" t="str">
        <f aca="false">IFERROR(__xludf.dummyfunction("REGEXEXTRACT(ADDRESS(ROW(), 40+$H302), ""[A-Z]+"")"),"AO")</f>
        <v>AO</v>
      </c>
      <c r="R302" s="89" t="n">
        <f aca="false">IFERROR(__xludf.dummyfunction("IFERROR(QUERY(INDIRECT(""'""&amp;$F302&amp;""'!C3:""&amp;Q302&amp;""""), ""SELECT ""&amp;I302&amp;"", ""&amp;J302&amp;"", ""&amp;K302&amp;"", ""&amp;L302&amp;"", ""&amp;M302&amp;"", ""&amp;N302&amp;"", ""&amp;O302&amp;"", ""&amp;P302&amp;"" WHERE '""&amp;B302&amp;""' CONTAINS D"", 0), """")"),18.5)</f>
        <v>18.5</v>
      </c>
      <c r="S302" s="89" t="n">
        <f aca="false">IFERROR(__xludf.dummyfunction("""COMPUTED_VALUE"""),18.5)</f>
        <v>18.5</v>
      </c>
      <c r="T302" s="89"/>
      <c r="U302" s="89"/>
      <c r="V302" s="89" t="n">
        <f aca="false">IFERROR(__xludf.dummyfunction("""COMPUTED_VALUE"""),6)</f>
        <v>6</v>
      </c>
      <c r="W302" s="89"/>
      <c r="X302" s="89" t="n">
        <f aca="false">IFERROR(__xludf.dummyfunction("""COMPUTED_VALUE"""),40)</f>
        <v>40</v>
      </c>
      <c r="Y302" s="89" t="n">
        <f aca="false">IFERROR(__xludf.dummyfunction("""COMPUTED_VALUE"""),83)</f>
        <v>83</v>
      </c>
    </row>
    <row r="303" customFormat="false" ht="17.9" hidden="false" customHeight="false" outlineLevel="0" collapsed="false">
      <c r="A303" s="85" t="n">
        <v>302</v>
      </c>
      <c r="B303" s="85" t="n">
        <v>472464</v>
      </c>
      <c r="C303" s="86" t="s">
        <v>403</v>
      </c>
      <c r="D303" s="87" t="s">
        <v>117</v>
      </c>
      <c r="E303" s="88" t="str">
        <f aca="false">D303</f>
        <v>P3116</v>
      </c>
      <c r="F303" s="88" t="str">
        <f aca="false">REPLACE(E303, 1, 3, "")</f>
        <v>16</v>
      </c>
      <c r="G303" s="89" t="str">
        <f aca="true">IFERROR(VLOOKUP(B303,INDIRECT("'"&amp;$F303&amp;"'!D3:D"),1,FALSE()), "Not found")</f>
        <v>Not found</v>
      </c>
      <c r="H303" s="89" t="n">
        <f aca="true">INDIRECT("'"&amp;$F303&amp;"'!D1")</f>
        <v>0</v>
      </c>
      <c r="I303" s="89" t="str">
        <f aca="false">IFERROR(__xludf.dummyfunction("REGEXEXTRACT(ADDRESS(ROW(), 19+$H303), ""[A-Z]+"")"),"S")</f>
        <v>S</v>
      </c>
      <c r="J303" s="89" t="str">
        <f aca="false">IFERROR(__xludf.dummyfunction("REGEXEXTRACT(ADDRESS(ROW(), 25+$H303), ""[A-Z]+"")"),"Y")</f>
        <v>Y</v>
      </c>
      <c r="K303" s="89" t="str">
        <f aca="false">IFERROR(__xludf.dummyfunction("REGEXEXTRACT(ADDRESS(ROW(), 27+$H303), ""[A-Z]+"")"),"AA")</f>
        <v>AA</v>
      </c>
      <c r="L303" s="89" t="str">
        <f aca="false">IFERROR(__xludf.dummyfunction("REGEXEXTRACT(ADDRESS(ROW(), 28+$H303), ""[A-Z]+"")"),"AB")</f>
        <v>AB</v>
      </c>
      <c r="M303" s="89" t="str">
        <f aca="false">IFERROR(__xludf.dummyfunction("REGEXEXTRACT(ADDRESS(ROW(), 34+$H303), ""[A-Z]+"")"),"AH")</f>
        <v>AH</v>
      </c>
      <c r="N303" s="89" t="str">
        <f aca="false">IFERROR(__xludf.dummyfunction("REGEXEXTRACT(ADDRESS(ROW(), 37+$H303), ""[A-Z]+"")"),"AK")</f>
        <v>AK</v>
      </c>
      <c r="O303" s="89" t="str">
        <f aca="false">IFERROR(__xludf.dummyfunction("REGEXEXTRACT(ADDRESS(ROW(), 38+$H303), ""[A-Z]+"")"),"AL")</f>
        <v>AL</v>
      </c>
      <c r="P303" s="89" t="str">
        <f aca="false">IFERROR(__xludf.dummyfunction("REGEXEXTRACT(ADDRESS(ROW(), 39+$H303), ""[A-Z]+"")"),"AM")</f>
        <v>AM</v>
      </c>
      <c r="Q303" s="89" t="str">
        <f aca="false">IFERROR(__xludf.dummyfunction("REGEXEXTRACT(ADDRESS(ROW(), 40+$H303), ""[A-Z]+"")"),"AN")</f>
        <v>AN</v>
      </c>
      <c r="R303" s="89" t="n">
        <f aca="false">IFERROR(__xludf.dummyfunction("IFERROR(QUERY(INDIRECT(""'""&amp;$F303&amp;""'!C3:""&amp;Q303&amp;""""), ""SELECT ""&amp;I303&amp;"", ""&amp;J303&amp;"", ""&amp;K303&amp;"", ""&amp;L303&amp;"", ""&amp;M303&amp;"", ""&amp;N303&amp;"", ""&amp;O303&amp;"", ""&amp;P303&amp;"" WHERE '""&amp;B303&amp;""' CONTAINS D"", 0), """")"),16)</f>
        <v>16</v>
      </c>
      <c r="S303" s="89" t="n">
        <f aca="false">IFERROR(__xludf.dummyfunction("""COMPUTED_VALUE"""),14)</f>
        <v>14</v>
      </c>
      <c r="T303" s="89"/>
      <c r="U303" s="89"/>
      <c r="V303" s="89" t="n">
        <f aca="false">IFERROR(__xludf.dummyfunction("""COMPUTED_VALUE"""),8)</f>
        <v>8</v>
      </c>
      <c r="W303" s="89"/>
      <c r="X303" s="89" t="n">
        <f aca="false">IFERROR(__xludf.dummyfunction("""COMPUTED_VALUE"""),24)</f>
        <v>24</v>
      </c>
      <c r="Y303" s="89" t="n">
        <f aca="false">IFERROR(__xludf.dummyfunction("""COMPUTED_VALUE"""),62)</f>
        <v>62</v>
      </c>
    </row>
    <row r="304" customFormat="false" ht="17.9" hidden="false" customHeight="false" outlineLevel="0" collapsed="false">
      <c r="A304" s="85" t="n">
        <v>303</v>
      </c>
      <c r="B304" s="85" t="n">
        <v>467422</v>
      </c>
      <c r="C304" s="86" t="s">
        <v>404</v>
      </c>
      <c r="D304" s="87" t="s">
        <v>151</v>
      </c>
      <c r="E304" s="88" t="str">
        <f aca="false">D304</f>
        <v>P3122</v>
      </c>
      <c r="F304" s="88" t="str">
        <f aca="false">REPLACE(E304, 1, 3, "")</f>
        <v>22</v>
      </c>
      <c r="G304" s="89" t="str">
        <f aca="true">IFERROR(VLOOKUP(B304,INDIRECT("'"&amp;$F304&amp;"'!D3:D"),1,FALSE()), "Not found")</f>
        <v>Not found</v>
      </c>
      <c r="H304" s="89" t="n">
        <f aca="true">INDIRECT("'"&amp;$F304&amp;"'!D1")</f>
        <v>0</v>
      </c>
      <c r="I304" s="89" t="str">
        <f aca="false">IFERROR(__xludf.dummyfunction("REGEXEXTRACT(ADDRESS(ROW(), 19+$H304), ""[A-Z]+"")"),"S")</f>
        <v>S</v>
      </c>
      <c r="J304" s="89" t="str">
        <f aca="false">IFERROR(__xludf.dummyfunction("REGEXEXTRACT(ADDRESS(ROW(), 25+$H304), ""[A-Z]+"")"),"Y")</f>
        <v>Y</v>
      </c>
      <c r="K304" s="89" t="str">
        <f aca="false">IFERROR(__xludf.dummyfunction("REGEXEXTRACT(ADDRESS(ROW(), 27+$H304), ""[A-Z]+"")"),"AA")</f>
        <v>AA</v>
      </c>
      <c r="L304" s="89" t="str">
        <f aca="false">IFERROR(__xludf.dummyfunction("REGEXEXTRACT(ADDRESS(ROW(), 28+$H304), ""[A-Z]+"")"),"AB")</f>
        <v>AB</v>
      </c>
      <c r="M304" s="89" t="str">
        <f aca="false">IFERROR(__xludf.dummyfunction("REGEXEXTRACT(ADDRESS(ROW(), 34+$H304), ""[A-Z]+"")"),"AH")</f>
        <v>AH</v>
      </c>
      <c r="N304" s="89" t="str">
        <f aca="false">IFERROR(__xludf.dummyfunction("REGEXEXTRACT(ADDRESS(ROW(), 37+$H304), ""[A-Z]+"")"),"AK")</f>
        <v>AK</v>
      </c>
      <c r="O304" s="89" t="str">
        <f aca="false">IFERROR(__xludf.dummyfunction("REGEXEXTRACT(ADDRESS(ROW(), 38+$H304), ""[A-Z]+"")"),"AL")</f>
        <v>AL</v>
      </c>
      <c r="P304" s="89" t="str">
        <f aca="false">IFERROR(__xludf.dummyfunction("REGEXEXTRACT(ADDRESS(ROW(), 39+$H304), ""[A-Z]+"")"),"AM")</f>
        <v>AM</v>
      </c>
      <c r="Q304" s="89" t="str">
        <f aca="false">IFERROR(__xludf.dummyfunction("REGEXEXTRACT(ADDRESS(ROW(), 40+$H304), ""[A-Z]+"")"),"AN")</f>
        <v>AN</v>
      </c>
      <c r="R304" s="89" t="n">
        <f aca="false">IFERROR(__xludf.dummyfunction("IFERROR(QUERY(INDIRECT(""'""&amp;$F304&amp;""'!C3:""&amp;Q304&amp;""""), ""SELECT ""&amp;I304&amp;"", ""&amp;J304&amp;"", ""&amp;K304&amp;"", ""&amp;L304&amp;"", ""&amp;M304&amp;"", ""&amp;N304&amp;"", ""&amp;O304&amp;"", ""&amp;P304&amp;"" WHERE '""&amp;B304&amp;""' CONTAINS D"", 0), """")"),18.5)</f>
        <v>18.5</v>
      </c>
      <c r="S304" s="89" t="n">
        <f aca="false">IFERROR(__xludf.dummyfunction("""COMPUTED_VALUE"""),18.5)</f>
        <v>18.5</v>
      </c>
      <c r="T304" s="89"/>
      <c r="U304" s="89"/>
      <c r="V304" s="89" t="n">
        <f aca="false">IFERROR(__xludf.dummyfunction("""COMPUTED_VALUE"""),8)</f>
        <v>8</v>
      </c>
      <c r="W304" s="89"/>
      <c r="X304" s="89" t="n">
        <f aca="false">IFERROR(__xludf.dummyfunction("""COMPUTED_VALUE"""),40)</f>
        <v>40</v>
      </c>
      <c r="Y304" s="89" t="n">
        <f aca="false">IFERROR(__xludf.dummyfunction("""COMPUTED_VALUE"""),85)</f>
        <v>85</v>
      </c>
    </row>
    <row r="305" customFormat="false" ht="17.9" hidden="false" customHeight="false" outlineLevel="0" collapsed="false">
      <c r="A305" s="85" t="n">
        <v>304</v>
      </c>
      <c r="B305" s="85" t="n">
        <v>467432</v>
      </c>
      <c r="C305" s="86" t="s">
        <v>405</v>
      </c>
      <c r="D305" s="87" t="s">
        <v>100</v>
      </c>
      <c r="E305" s="88" t="str">
        <f aca="false">D305</f>
        <v>P3112</v>
      </c>
      <c r="F305" s="88" t="str">
        <f aca="false">REPLACE(E305, 1, 3, "")</f>
        <v>12</v>
      </c>
      <c r="G305" s="89" t="str">
        <f aca="true">IFERROR(VLOOKUP(B305,INDIRECT("'"&amp;$F305&amp;"'!D3:D"),1,FALSE()), "Not found")</f>
        <v>Not found</v>
      </c>
      <c r="H305" s="89" t="n">
        <f aca="true">INDIRECT("'"&amp;$F305&amp;"'!D1")</f>
        <v>0</v>
      </c>
      <c r="I305" s="89" t="str">
        <f aca="false">IFERROR(__xludf.dummyfunction("REGEXEXTRACT(ADDRESS(ROW(), 19+$H305), ""[A-Z]+"")"),"S")</f>
        <v>S</v>
      </c>
      <c r="J305" s="89" t="str">
        <f aca="false">IFERROR(__xludf.dummyfunction("REGEXEXTRACT(ADDRESS(ROW(), 25+$H305), ""[A-Z]+"")"),"Y")</f>
        <v>Y</v>
      </c>
      <c r="K305" s="89" t="str">
        <f aca="false">IFERROR(__xludf.dummyfunction("REGEXEXTRACT(ADDRESS(ROW(), 27+$H305), ""[A-Z]+"")"),"AA")</f>
        <v>AA</v>
      </c>
      <c r="L305" s="89" t="str">
        <f aca="false">IFERROR(__xludf.dummyfunction("REGEXEXTRACT(ADDRESS(ROW(), 28+$H305), ""[A-Z]+"")"),"AB")</f>
        <v>AB</v>
      </c>
      <c r="M305" s="89" t="str">
        <f aca="false">IFERROR(__xludf.dummyfunction("REGEXEXTRACT(ADDRESS(ROW(), 34+$H305), ""[A-Z]+"")"),"AH")</f>
        <v>AH</v>
      </c>
      <c r="N305" s="89" t="str">
        <f aca="false">IFERROR(__xludf.dummyfunction("REGEXEXTRACT(ADDRESS(ROW(), 37+$H305), ""[A-Z]+"")"),"AK")</f>
        <v>AK</v>
      </c>
      <c r="O305" s="89" t="str">
        <f aca="false">IFERROR(__xludf.dummyfunction("REGEXEXTRACT(ADDRESS(ROW(), 38+$H305), ""[A-Z]+"")"),"AL")</f>
        <v>AL</v>
      </c>
      <c r="P305" s="89" t="str">
        <f aca="false">IFERROR(__xludf.dummyfunction("REGEXEXTRACT(ADDRESS(ROW(), 39+$H305), ""[A-Z]+"")"),"AM")</f>
        <v>AM</v>
      </c>
      <c r="Q305" s="89" t="str">
        <f aca="false">IFERROR(__xludf.dummyfunction("REGEXEXTRACT(ADDRESS(ROW(), 40+$H305), ""[A-Z]+"")"),"AN")</f>
        <v>AN</v>
      </c>
      <c r="R305" s="89" t="n">
        <f aca="false">IFERROR(__xludf.dummyfunction("IFERROR(QUERY(INDIRECT(""'""&amp;$F305&amp;""'!C3:""&amp;Q305&amp;""""), ""SELECT ""&amp;I305&amp;"", ""&amp;J305&amp;"", ""&amp;K305&amp;"", ""&amp;L305&amp;"", ""&amp;M305&amp;"", ""&amp;N305&amp;"", ""&amp;O305&amp;"", ""&amp;P305&amp;"" WHERE '""&amp;B305&amp;""' CONTAINS D"", 0), """")"),18)</f>
        <v>18</v>
      </c>
      <c r="S305" s="89" t="n">
        <f aca="false">IFERROR(__xludf.dummyfunction("""COMPUTED_VALUE"""),18)</f>
        <v>18</v>
      </c>
      <c r="T305" s="89"/>
      <c r="U305" s="89"/>
      <c r="V305" s="89" t="n">
        <f aca="false">IFERROR(__xludf.dummyfunction("""COMPUTED_VALUE"""),8)</f>
        <v>8</v>
      </c>
      <c r="W305" s="89"/>
      <c r="X305" s="89" t="n">
        <f aca="false">IFERROR(__xludf.dummyfunction("""COMPUTED_VALUE"""),40)</f>
        <v>40</v>
      </c>
      <c r="Y305" s="89" t="n">
        <f aca="false">IFERROR(__xludf.dummyfunction("""COMPUTED_VALUE"""),84)</f>
        <v>84</v>
      </c>
    </row>
    <row r="306" customFormat="false" ht="17.9" hidden="false" customHeight="false" outlineLevel="0" collapsed="false">
      <c r="A306" s="85" t="n">
        <v>305</v>
      </c>
      <c r="B306" s="85" t="n">
        <v>467434</v>
      </c>
      <c r="C306" s="86" t="s">
        <v>406</v>
      </c>
      <c r="D306" s="87" t="s">
        <v>117</v>
      </c>
      <c r="E306" s="88" t="str">
        <f aca="false">D306</f>
        <v>P3116</v>
      </c>
      <c r="F306" s="88" t="str">
        <f aca="false">REPLACE(E306, 1, 3, "")</f>
        <v>16</v>
      </c>
      <c r="G306" s="89" t="str">
        <f aca="true">IFERROR(VLOOKUP(B306,INDIRECT("'"&amp;$F306&amp;"'!D3:D"),1,FALSE()), "Not found")</f>
        <v>Not found</v>
      </c>
      <c r="H306" s="89" t="n">
        <f aca="true">INDIRECT("'"&amp;$F306&amp;"'!D1")</f>
        <v>0</v>
      </c>
      <c r="I306" s="89" t="str">
        <f aca="false">IFERROR(__xludf.dummyfunction("REGEXEXTRACT(ADDRESS(ROW(), 19+$H306), ""[A-Z]+"")"),"S")</f>
        <v>S</v>
      </c>
      <c r="J306" s="89" t="str">
        <f aca="false">IFERROR(__xludf.dummyfunction("REGEXEXTRACT(ADDRESS(ROW(), 25+$H306), ""[A-Z]+"")"),"Y")</f>
        <v>Y</v>
      </c>
      <c r="K306" s="89" t="str">
        <f aca="false">IFERROR(__xludf.dummyfunction("REGEXEXTRACT(ADDRESS(ROW(), 27+$H306), ""[A-Z]+"")"),"AA")</f>
        <v>AA</v>
      </c>
      <c r="L306" s="89" t="str">
        <f aca="false">IFERROR(__xludf.dummyfunction("REGEXEXTRACT(ADDRESS(ROW(), 28+$H306), ""[A-Z]+"")"),"AB")</f>
        <v>AB</v>
      </c>
      <c r="M306" s="89" t="str">
        <f aca="false">IFERROR(__xludf.dummyfunction("REGEXEXTRACT(ADDRESS(ROW(), 34+$H306), ""[A-Z]+"")"),"AH")</f>
        <v>AH</v>
      </c>
      <c r="N306" s="89" t="str">
        <f aca="false">IFERROR(__xludf.dummyfunction("REGEXEXTRACT(ADDRESS(ROW(), 37+$H306), ""[A-Z]+"")"),"AK")</f>
        <v>AK</v>
      </c>
      <c r="O306" s="89" t="str">
        <f aca="false">IFERROR(__xludf.dummyfunction("REGEXEXTRACT(ADDRESS(ROW(), 38+$H306), ""[A-Z]+"")"),"AL")</f>
        <v>AL</v>
      </c>
      <c r="P306" s="89" t="str">
        <f aca="false">IFERROR(__xludf.dummyfunction("REGEXEXTRACT(ADDRESS(ROW(), 39+$H306), ""[A-Z]+"")"),"AM")</f>
        <v>AM</v>
      </c>
      <c r="Q306" s="89" t="str">
        <f aca="false">IFERROR(__xludf.dummyfunction("REGEXEXTRACT(ADDRESS(ROW(), 40+$H306), ""[A-Z]+"")"),"AN")</f>
        <v>AN</v>
      </c>
      <c r="R306" s="89" t="n">
        <f aca="false">IFERROR(__xludf.dummyfunction("IFERROR(QUERY(INDIRECT(""'""&amp;$F306&amp;""'!C3:""&amp;Q306&amp;""""), ""SELECT ""&amp;I306&amp;"", ""&amp;J306&amp;"", ""&amp;K306&amp;"", ""&amp;L306&amp;"", ""&amp;M306&amp;"", ""&amp;N306&amp;"", ""&amp;O306&amp;"", ""&amp;P306&amp;"" WHERE '""&amp;B306&amp;""' CONTAINS D"", 0), """")"),20)</f>
        <v>20</v>
      </c>
      <c r="S306" s="89" t="n">
        <f aca="false">IFERROR(__xludf.dummyfunction("""COMPUTED_VALUE"""),20)</f>
        <v>20</v>
      </c>
      <c r="T306" s="89"/>
      <c r="U306" s="89"/>
      <c r="V306" s="89" t="n">
        <f aca="false">IFERROR(__xludf.dummyfunction("""COMPUTED_VALUE"""),10)</f>
        <v>10</v>
      </c>
      <c r="W306" s="89"/>
      <c r="X306" s="89" t="n">
        <f aca="false">IFERROR(__xludf.dummyfunction("""COMPUTED_VALUE"""),40)</f>
        <v>40</v>
      </c>
      <c r="Y306" s="89" t="n">
        <f aca="false">IFERROR(__xludf.dummyfunction("""COMPUTED_VALUE"""),90)</f>
        <v>90</v>
      </c>
    </row>
    <row r="307" customFormat="false" ht="17.9" hidden="false" customHeight="false" outlineLevel="0" collapsed="false">
      <c r="A307" s="85" t="n">
        <v>306</v>
      </c>
      <c r="B307" s="85" t="n">
        <v>472474</v>
      </c>
      <c r="C307" s="86" t="s">
        <v>407</v>
      </c>
      <c r="D307" s="87" t="s">
        <v>95</v>
      </c>
      <c r="E307" s="88" t="str">
        <f aca="false">D307</f>
        <v>P3106</v>
      </c>
      <c r="F307" s="88" t="str">
        <f aca="false">REPLACE(E307, 1, 3, "")</f>
        <v>06</v>
      </c>
      <c r="G307" s="89" t="str">
        <f aca="true">IFERROR(VLOOKUP(B307,INDIRECT("'"&amp;$F307&amp;"'!D3:D"),1,FALSE()), "Not found")</f>
        <v>Not found</v>
      </c>
      <c r="H307" s="89" t="n">
        <f aca="true">INDIRECT("'"&amp;$F307&amp;"'!D1")</f>
        <v>0</v>
      </c>
      <c r="I307" s="89" t="str">
        <f aca="false">IFERROR(__xludf.dummyfunction("REGEXEXTRACT(ADDRESS(ROW(), 19+$H307), ""[A-Z]+"")"),"S")</f>
        <v>S</v>
      </c>
      <c r="J307" s="89" t="str">
        <f aca="false">IFERROR(__xludf.dummyfunction("REGEXEXTRACT(ADDRESS(ROW(), 25+$H307), ""[A-Z]+"")"),"Y")</f>
        <v>Y</v>
      </c>
      <c r="K307" s="89" t="str">
        <f aca="false">IFERROR(__xludf.dummyfunction("REGEXEXTRACT(ADDRESS(ROW(), 27+$H307), ""[A-Z]+"")"),"AA")</f>
        <v>AA</v>
      </c>
      <c r="L307" s="89" t="str">
        <f aca="false">IFERROR(__xludf.dummyfunction("REGEXEXTRACT(ADDRESS(ROW(), 28+$H307), ""[A-Z]+"")"),"AB")</f>
        <v>AB</v>
      </c>
      <c r="M307" s="89" t="str">
        <f aca="false">IFERROR(__xludf.dummyfunction("REGEXEXTRACT(ADDRESS(ROW(), 34+$H307), ""[A-Z]+"")"),"AH")</f>
        <v>AH</v>
      </c>
      <c r="N307" s="89" t="str">
        <f aca="false">IFERROR(__xludf.dummyfunction("REGEXEXTRACT(ADDRESS(ROW(), 37+$H307), ""[A-Z]+"")"),"AK")</f>
        <v>AK</v>
      </c>
      <c r="O307" s="89" t="str">
        <f aca="false">IFERROR(__xludf.dummyfunction("REGEXEXTRACT(ADDRESS(ROW(), 38+$H307), ""[A-Z]+"")"),"AL")</f>
        <v>AL</v>
      </c>
      <c r="P307" s="89" t="str">
        <f aca="false">IFERROR(__xludf.dummyfunction("REGEXEXTRACT(ADDRESS(ROW(), 39+$H307), ""[A-Z]+"")"),"AM")</f>
        <v>AM</v>
      </c>
      <c r="Q307" s="89" t="str">
        <f aca="false">IFERROR(__xludf.dummyfunction("REGEXEXTRACT(ADDRESS(ROW(), 40+$H307), ""[A-Z]+"")"),"AN")</f>
        <v>AN</v>
      </c>
      <c r="R307" s="89" t="n">
        <f aca="false">IFERROR(__xludf.dummyfunction("IFERROR(QUERY(INDIRECT(""'""&amp;$F307&amp;""'!C3:""&amp;Q307&amp;""""), ""SELECT ""&amp;I307&amp;"", ""&amp;J307&amp;"", ""&amp;K307&amp;"", ""&amp;L307&amp;"", ""&amp;M307&amp;"", ""&amp;N307&amp;"", ""&amp;O307&amp;"", ""&amp;P307&amp;"" WHERE '""&amp;B307&amp;""' CONTAINS D"", 0), """")"),17)</f>
        <v>17</v>
      </c>
      <c r="S307" s="89" t="n">
        <f aca="false">IFERROR(__xludf.dummyfunction("""COMPUTED_VALUE"""),14)</f>
        <v>14</v>
      </c>
      <c r="T307" s="89"/>
      <c r="U307" s="89"/>
      <c r="V307" s="89" t="n">
        <f aca="false">IFERROR(__xludf.dummyfunction("""COMPUTED_VALUE"""),6)</f>
        <v>6</v>
      </c>
      <c r="W307" s="89"/>
      <c r="X307" s="89" t="n">
        <f aca="false">IFERROR(__xludf.dummyfunction("""COMPUTED_VALUE"""),40)</f>
        <v>40</v>
      </c>
      <c r="Y307" s="89" t="n">
        <f aca="false">IFERROR(__xludf.dummyfunction("""COMPUTED_VALUE"""),77)</f>
        <v>77</v>
      </c>
    </row>
    <row r="308" customFormat="false" ht="17.9" hidden="false" customHeight="false" outlineLevel="0" collapsed="false">
      <c r="A308" s="85" t="n">
        <v>307</v>
      </c>
      <c r="B308" s="85" t="n">
        <v>467463</v>
      </c>
      <c r="C308" s="86" t="s">
        <v>408</v>
      </c>
      <c r="D308" s="87" t="s">
        <v>93</v>
      </c>
      <c r="E308" s="88" t="str">
        <f aca="false">D308</f>
        <v>P3114</v>
      </c>
      <c r="F308" s="88" t="str">
        <f aca="false">REPLACE(E308, 1, 3, "")</f>
        <v>14</v>
      </c>
      <c r="G308" s="89" t="str">
        <f aca="true">IFERROR(VLOOKUP(B308,INDIRECT("'"&amp;$F308&amp;"'!D3:D"),1,FALSE()), "Not found")</f>
        <v>Not found</v>
      </c>
      <c r="H308" s="89" t="n">
        <f aca="true">INDIRECT("'"&amp;$F308&amp;"'!D1")</f>
        <v>0</v>
      </c>
      <c r="I308" s="89" t="str">
        <f aca="false">IFERROR(__xludf.dummyfunction("REGEXEXTRACT(ADDRESS(ROW(), 19+$H308), ""[A-Z]+"")"),"S")</f>
        <v>S</v>
      </c>
      <c r="J308" s="89" t="str">
        <f aca="false">IFERROR(__xludf.dummyfunction("REGEXEXTRACT(ADDRESS(ROW(), 25+$H308), ""[A-Z]+"")"),"Y")</f>
        <v>Y</v>
      </c>
      <c r="K308" s="89" t="str">
        <f aca="false">IFERROR(__xludf.dummyfunction("REGEXEXTRACT(ADDRESS(ROW(), 27+$H308), ""[A-Z]+"")"),"AA")</f>
        <v>AA</v>
      </c>
      <c r="L308" s="89" t="str">
        <f aca="false">IFERROR(__xludf.dummyfunction("REGEXEXTRACT(ADDRESS(ROW(), 28+$H308), ""[A-Z]+"")"),"AB")</f>
        <v>AB</v>
      </c>
      <c r="M308" s="89" t="str">
        <f aca="false">IFERROR(__xludf.dummyfunction("REGEXEXTRACT(ADDRESS(ROW(), 34+$H308), ""[A-Z]+"")"),"AH")</f>
        <v>AH</v>
      </c>
      <c r="N308" s="89" t="str">
        <f aca="false">IFERROR(__xludf.dummyfunction("REGEXEXTRACT(ADDRESS(ROW(), 37+$H308), ""[A-Z]+"")"),"AK")</f>
        <v>AK</v>
      </c>
      <c r="O308" s="89" t="str">
        <f aca="false">IFERROR(__xludf.dummyfunction("REGEXEXTRACT(ADDRESS(ROW(), 38+$H308), ""[A-Z]+"")"),"AL")</f>
        <v>AL</v>
      </c>
      <c r="P308" s="89" t="str">
        <f aca="false">IFERROR(__xludf.dummyfunction("REGEXEXTRACT(ADDRESS(ROW(), 39+$H308), ""[A-Z]+"")"),"AM")</f>
        <v>AM</v>
      </c>
      <c r="Q308" s="89" t="str">
        <f aca="false">IFERROR(__xludf.dummyfunction("REGEXEXTRACT(ADDRESS(ROW(), 40+$H308), ""[A-Z]+"")"),"AN")</f>
        <v>AN</v>
      </c>
      <c r="R308" s="89" t="n">
        <f aca="false">IFERROR(__xludf.dummyfunction("IFERROR(QUERY(INDIRECT(""'""&amp;$F308&amp;""'!C3:""&amp;Q308&amp;""""), ""SELECT ""&amp;I308&amp;"", ""&amp;J308&amp;"", ""&amp;K308&amp;"", ""&amp;L308&amp;"", ""&amp;M308&amp;"", ""&amp;N308&amp;"", ""&amp;O308&amp;"", ""&amp;P308&amp;"" WHERE '""&amp;B308&amp;""' CONTAINS D"", 0), """")"),14)</f>
        <v>14</v>
      </c>
      <c r="S308" s="89" t="n">
        <f aca="false">IFERROR(__xludf.dummyfunction("""COMPUTED_VALUE"""),12)</f>
        <v>12</v>
      </c>
      <c r="T308" s="89"/>
      <c r="U308" s="89"/>
      <c r="V308" s="89" t="n">
        <f aca="false">IFERROR(__xludf.dummyfunction("""COMPUTED_VALUE"""),6)</f>
        <v>6</v>
      </c>
      <c r="W308" s="89"/>
      <c r="X308" s="89" t="n">
        <f aca="false">IFERROR(__xludf.dummyfunction("""COMPUTED_VALUE"""),28)</f>
        <v>28</v>
      </c>
      <c r="Y308" s="89" t="n">
        <f aca="false">IFERROR(__xludf.dummyfunction("""COMPUTED_VALUE"""),60)</f>
        <v>60</v>
      </c>
    </row>
    <row r="309" customFormat="false" ht="17.9" hidden="false" customHeight="false" outlineLevel="0" collapsed="false">
      <c r="A309" s="85" t="n">
        <v>308</v>
      </c>
      <c r="B309" s="85" t="n">
        <v>467464</v>
      </c>
      <c r="C309" s="86" t="s">
        <v>409</v>
      </c>
      <c r="D309" s="87" t="s">
        <v>89</v>
      </c>
      <c r="E309" s="88" t="str">
        <f aca="false">D309</f>
        <v>P3119</v>
      </c>
      <c r="F309" s="88" t="str">
        <f aca="false">REPLACE(E309, 1, 3, "")</f>
        <v>19</v>
      </c>
      <c r="G309" s="89" t="str">
        <f aca="true">IFERROR(VLOOKUP(B309,INDIRECT("'"&amp;$F309&amp;"'!D3:D"),1,FALSE()), "Not found")</f>
        <v>Not found</v>
      </c>
      <c r="H309" s="89" t="n">
        <f aca="true">INDIRECT("'"&amp;$F309&amp;"'!D1")</f>
        <v>0</v>
      </c>
      <c r="I309" s="89" t="str">
        <f aca="false">IFERROR(__xludf.dummyfunction("REGEXEXTRACT(ADDRESS(ROW(), 19+$H309), ""[A-Z]+"")"),"S")</f>
        <v>S</v>
      </c>
      <c r="J309" s="89" t="str">
        <f aca="false">IFERROR(__xludf.dummyfunction("REGEXEXTRACT(ADDRESS(ROW(), 25+$H309), ""[A-Z]+"")"),"Y")</f>
        <v>Y</v>
      </c>
      <c r="K309" s="89" t="str">
        <f aca="false">IFERROR(__xludf.dummyfunction("REGEXEXTRACT(ADDRESS(ROW(), 27+$H309), ""[A-Z]+"")"),"AA")</f>
        <v>AA</v>
      </c>
      <c r="L309" s="89" t="str">
        <f aca="false">IFERROR(__xludf.dummyfunction("REGEXEXTRACT(ADDRESS(ROW(), 28+$H309), ""[A-Z]+"")"),"AB")</f>
        <v>AB</v>
      </c>
      <c r="M309" s="89" t="str">
        <f aca="false">IFERROR(__xludf.dummyfunction("REGEXEXTRACT(ADDRESS(ROW(), 34+$H309), ""[A-Z]+"")"),"AH")</f>
        <v>AH</v>
      </c>
      <c r="N309" s="89" t="str">
        <f aca="false">IFERROR(__xludf.dummyfunction("REGEXEXTRACT(ADDRESS(ROW(), 37+$H309), ""[A-Z]+"")"),"AK")</f>
        <v>AK</v>
      </c>
      <c r="O309" s="89" t="str">
        <f aca="false">IFERROR(__xludf.dummyfunction("REGEXEXTRACT(ADDRESS(ROW(), 38+$H309), ""[A-Z]+"")"),"AL")</f>
        <v>AL</v>
      </c>
      <c r="P309" s="89" t="str">
        <f aca="false">IFERROR(__xludf.dummyfunction("REGEXEXTRACT(ADDRESS(ROW(), 39+$H309), ""[A-Z]+"")"),"AM")</f>
        <v>AM</v>
      </c>
      <c r="Q309" s="89" t="str">
        <f aca="false">IFERROR(__xludf.dummyfunction("REGEXEXTRACT(ADDRESS(ROW(), 40+$H309), ""[A-Z]+"")"),"AN")</f>
        <v>AN</v>
      </c>
      <c r="R309" s="89" t="n">
        <f aca="false">IFERROR(__xludf.dummyfunction("IFERROR(QUERY(INDIRECT(""'""&amp;$F309&amp;""'!C3:""&amp;Q309&amp;""""), ""SELECT ""&amp;I309&amp;"", ""&amp;J309&amp;"", ""&amp;K309&amp;"", ""&amp;L309&amp;"", ""&amp;M309&amp;"", ""&amp;N309&amp;"", ""&amp;O309&amp;"", ""&amp;P309&amp;"" WHERE '""&amp;B309&amp;""' CONTAINS D"", 0), """")"),17)</f>
        <v>17</v>
      </c>
      <c r="S309" s="89" t="n">
        <f aca="false">IFERROR(__xludf.dummyfunction("""COMPUTED_VALUE"""),19)</f>
        <v>19</v>
      </c>
      <c r="T309" s="89"/>
      <c r="U309" s="89"/>
      <c r="V309" s="89" t="n">
        <f aca="false">IFERROR(__xludf.dummyfunction("""COMPUTED_VALUE"""),6)</f>
        <v>6</v>
      </c>
      <c r="W309" s="89"/>
      <c r="X309" s="89" t="n">
        <f aca="false">IFERROR(__xludf.dummyfunction("""COMPUTED_VALUE"""),40)</f>
        <v>40</v>
      </c>
      <c r="Y309" s="89" t="n">
        <f aca="false">IFERROR(__xludf.dummyfunction("""COMPUTED_VALUE"""),82)</f>
        <v>82</v>
      </c>
    </row>
    <row r="310" customFormat="false" ht="17.9" hidden="false" customHeight="false" outlineLevel="0" collapsed="false">
      <c r="A310" s="85" t="n">
        <v>309</v>
      </c>
      <c r="B310" s="85" t="n">
        <v>467467</v>
      </c>
      <c r="C310" s="86" t="s">
        <v>410</v>
      </c>
      <c r="D310" s="87" t="s">
        <v>130</v>
      </c>
      <c r="E310" s="88" t="str">
        <f aca="false">D310</f>
        <v>P3117</v>
      </c>
      <c r="F310" s="88" t="str">
        <f aca="false">REPLACE(E310, 1, 3, "")</f>
        <v>17</v>
      </c>
      <c r="G310" s="89" t="str">
        <f aca="true">IFERROR(VLOOKUP(B310,INDIRECT("'"&amp;$F310&amp;"'!D3:D"),1,FALSE()), "Not found")</f>
        <v>Not found</v>
      </c>
      <c r="H310" s="89" t="n">
        <f aca="true">INDIRECT("'"&amp;$F310&amp;"'!D1")</f>
        <v>1</v>
      </c>
      <c r="I310" s="89" t="str">
        <f aca="false">IFERROR(__xludf.dummyfunction("REGEXEXTRACT(ADDRESS(ROW(), 19+$H310), ""[A-Z]+"")"),"T")</f>
        <v>T</v>
      </c>
      <c r="J310" s="89" t="str">
        <f aca="false">IFERROR(__xludf.dummyfunction("REGEXEXTRACT(ADDRESS(ROW(), 25+$H310), ""[A-Z]+"")"),"Z")</f>
        <v>Z</v>
      </c>
      <c r="K310" s="89" t="str">
        <f aca="false">IFERROR(__xludf.dummyfunction("REGEXEXTRACT(ADDRESS(ROW(), 27+$H310), ""[A-Z]+"")"),"AB")</f>
        <v>AB</v>
      </c>
      <c r="L310" s="89" t="str">
        <f aca="false">IFERROR(__xludf.dummyfunction("REGEXEXTRACT(ADDRESS(ROW(), 28+$H310), ""[A-Z]+"")"),"AC")</f>
        <v>AC</v>
      </c>
      <c r="M310" s="89" t="str">
        <f aca="false">IFERROR(__xludf.dummyfunction("REGEXEXTRACT(ADDRESS(ROW(), 34+$H310), ""[A-Z]+"")"),"AI")</f>
        <v>AI</v>
      </c>
      <c r="N310" s="89" t="str">
        <f aca="false">IFERROR(__xludf.dummyfunction("REGEXEXTRACT(ADDRESS(ROW(), 37+$H310), ""[A-Z]+"")"),"AL")</f>
        <v>AL</v>
      </c>
      <c r="O310" s="89" t="str">
        <f aca="false">IFERROR(__xludf.dummyfunction("REGEXEXTRACT(ADDRESS(ROW(), 38+$H310), ""[A-Z]+"")"),"AM")</f>
        <v>AM</v>
      </c>
      <c r="P310" s="89" t="str">
        <f aca="false">IFERROR(__xludf.dummyfunction("REGEXEXTRACT(ADDRESS(ROW(), 39+$H310), ""[A-Z]+"")"),"AN")</f>
        <v>AN</v>
      </c>
      <c r="Q310" s="89" t="str">
        <f aca="false">IFERROR(__xludf.dummyfunction("REGEXEXTRACT(ADDRESS(ROW(), 40+$H310), ""[A-Z]+"")"),"AO")</f>
        <v>AO</v>
      </c>
      <c r="R310" s="89" t="n">
        <f aca="false">IFERROR(__xludf.dummyfunction("IFERROR(QUERY(INDIRECT(""'""&amp;$F310&amp;""'!C3:""&amp;Q310&amp;""""), ""SELECT ""&amp;I310&amp;"", ""&amp;J310&amp;"", ""&amp;K310&amp;"", ""&amp;L310&amp;"", ""&amp;M310&amp;"", ""&amp;N310&amp;"", ""&amp;O310&amp;"", ""&amp;P310&amp;"" WHERE '""&amp;B310&amp;""' CONTAINS D"", 0), """")"),19)</f>
        <v>19</v>
      </c>
      <c r="S310" s="89" t="n">
        <f aca="false">IFERROR(__xludf.dummyfunction("""COMPUTED_VALUE"""),20)</f>
        <v>20</v>
      </c>
      <c r="T310" s="89"/>
      <c r="U310" s="89"/>
      <c r="V310" s="89" t="n">
        <f aca="false">IFERROR(__xludf.dummyfunction("""COMPUTED_VALUE"""),6)</f>
        <v>6</v>
      </c>
      <c r="W310" s="89"/>
      <c r="X310" s="89" t="n">
        <f aca="false">IFERROR(__xludf.dummyfunction("""COMPUTED_VALUE"""),40)</f>
        <v>40</v>
      </c>
      <c r="Y310" s="89" t="n">
        <f aca="false">IFERROR(__xludf.dummyfunction("""COMPUTED_VALUE"""),85)</f>
        <v>85</v>
      </c>
    </row>
    <row r="311" customFormat="false" ht="17.9" hidden="false" customHeight="false" outlineLevel="0" collapsed="false">
      <c r="A311" s="85" t="n">
        <v>310</v>
      </c>
      <c r="B311" s="85" t="n">
        <v>475197</v>
      </c>
      <c r="C311" s="86" t="s">
        <v>411</v>
      </c>
      <c r="D311" s="87" t="s">
        <v>127</v>
      </c>
      <c r="E311" s="88" t="str">
        <f aca="false">D311</f>
        <v>P3131</v>
      </c>
      <c r="F311" s="88" t="str">
        <f aca="false">REPLACE(E311, 1, 3, "")</f>
        <v>31</v>
      </c>
      <c r="G311" s="89" t="str">
        <f aca="true">IFERROR(VLOOKUP(B311,INDIRECT("'"&amp;$F311&amp;"'!D3:D"),1,FALSE()), "Not found")</f>
        <v>Not found</v>
      </c>
      <c r="H311" s="89" t="n">
        <f aca="true">INDIRECT("'"&amp;$F311&amp;"'!D1")</f>
        <v>0</v>
      </c>
      <c r="I311" s="89" t="str">
        <f aca="false">IFERROR(__xludf.dummyfunction("REGEXEXTRACT(ADDRESS(ROW(), 19+$H311), ""[A-Z]+"")"),"S")</f>
        <v>S</v>
      </c>
      <c r="J311" s="89" t="str">
        <f aca="false">IFERROR(__xludf.dummyfunction("REGEXEXTRACT(ADDRESS(ROW(), 25+$H311), ""[A-Z]+"")"),"Y")</f>
        <v>Y</v>
      </c>
      <c r="K311" s="89" t="str">
        <f aca="false">IFERROR(__xludf.dummyfunction("REGEXEXTRACT(ADDRESS(ROW(), 27+$H311), ""[A-Z]+"")"),"AA")</f>
        <v>AA</v>
      </c>
      <c r="L311" s="89" t="str">
        <f aca="false">IFERROR(__xludf.dummyfunction("REGEXEXTRACT(ADDRESS(ROW(), 28+$H311), ""[A-Z]+"")"),"AB")</f>
        <v>AB</v>
      </c>
      <c r="M311" s="89" t="str">
        <f aca="false">IFERROR(__xludf.dummyfunction("REGEXEXTRACT(ADDRESS(ROW(), 34+$H311), ""[A-Z]+"")"),"AH")</f>
        <v>AH</v>
      </c>
      <c r="N311" s="89" t="str">
        <f aca="false">IFERROR(__xludf.dummyfunction("REGEXEXTRACT(ADDRESS(ROW(), 37+$H311), ""[A-Z]+"")"),"AK")</f>
        <v>AK</v>
      </c>
      <c r="O311" s="89" t="str">
        <f aca="false">IFERROR(__xludf.dummyfunction("REGEXEXTRACT(ADDRESS(ROW(), 38+$H311), ""[A-Z]+"")"),"AL")</f>
        <v>AL</v>
      </c>
      <c r="P311" s="89" t="str">
        <f aca="false">IFERROR(__xludf.dummyfunction("REGEXEXTRACT(ADDRESS(ROW(), 39+$H311), ""[A-Z]+"")"),"AM")</f>
        <v>AM</v>
      </c>
      <c r="Q311" s="89" t="str">
        <f aca="false">IFERROR(__xludf.dummyfunction("REGEXEXTRACT(ADDRESS(ROW(), 40+$H311), ""[A-Z]+"")"),"AN")</f>
        <v>AN</v>
      </c>
      <c r="R311" s="89" t="str">
        <f aca="false">IFERROR(__xludf.dummyfunction("IFERROR(QUERY(INDIRECT(""'""&amp;$F311&amp;""'!C3:""&amp;Q311&amp;""""), ""SELECT ""&amp;I311&amp;"", ""&amp;J311&amp;"", ""&amp;K311&amp;"", ""&amp;L311&amp;"", ""&amp;M311&amp;"", ""&amp;N311&amp;"", ""&amp;O311&amp;"", ""&amp;P311&amp;"" WHERE '""&amp;B311&amp;""' CONTAINS D"", 0), """")"),"")</f>
        <v/>
      </c>
      <c r="S311" s="89"/>
      <c r="T311" s="89"/>
      <c r="U311" s="89"/>
      <c r="V311" s="89" t="n">
        <f aca="false">IFERROR(__xludf.dummyfunction("""COMPUTED_VALUE"""),0)</f>
        <v>0</v>
      </c>
      <c r="W311" s="89"/>
      <c r="X311" s="89" t="n">
        <f aca="false">IFERROR(__xludf.dummyfunction("""COMPUTED_VALUE"""),0)</f>
        <v>0</v>
      </c>
      <c r="Y311" s="89" t="n">
        <f aca="false">IFERROR(__xludf.dummyfunction("""COMPUTED_VALUE"""),0)</f>
        <v>0</v>
      </c>
    </row>
    <row r="312" customFormat="false" ht="17.9" hidden="false" customHeight="false" outlineLevel="0" collapsed="false">
      <c r="A312" s="85" t="n">
        <v>311</v>
      </c>
      <c r="B312" s="85" t="n">
        <v>467478</v>
      </c>
      <c r="C312" s="86" t="s">
        <v>412</v>
      </c>
      <c r="D312" s="87" t="s">
        <v>127</v>
      </c>
      <c r="E312" s="88" t="str">
        <f aca="false">D312</f>
        <v>P3131</v>
      </c>
      <c r="F312" s="88" t="str">
        <f aca="false">REPLACE(E312, 1, 3, "")</f>
        <v>31</v>
      </c>
      <c r="G312" s="89" t="str">
        <f aca="true">IFERROR(VLOOKUP(B312,INDIRECT("'"&amp;$F312&amp;"'!D3:D"),1,FALSE()), "Not found")</f>
        <v>Not found</v>
      </c>
      <c r="H312" s="89" t="n">
        <f aca="true">INDIRECT("'"&amp;$F312&amp;"'!D1")</f>
        <v>0</v>
      </c>
      <c r="I312" s="89" t="str">
        <f aca="false">IFERROR(__xludf.dummyfunction("REGEXEXTRACT(ADDRESS(ROW(), 19+$H312), ""[A-Z]+"")"),"S")</f>
        <v>S</v>
      </c>
      <c r="J312" s="89" t="str">
        <f aca="false">IFERROR(__xludf.dummyfunction("REGEXEXTRACT(ADDRESS(ROW(), 25+$H312), ""[A-Z]+"")"),"Y")</f>
        <v>Y</v>
      </c>
      <c r="K312" s="89" t="str">
        <f aca="false">IFERROR(__xludf.dummyfunction("REGEXEXTRACT(ADDRESS(ROW(), 27+$H312), ""[A-Z]+"")"),"AA")</f>
        <v>AA</v>
      </c>
      <c r="L312" s="89" t="str">
        <f aca="false">IFERROR(__xludf.dummyfunction("REGEXEXTRACT(ADDRESS(ROW(), 28+$H312), ""[A-Z]+"")"),"AB")</f>
        <v>AB</v>
      </c>
      <c r="M312" s="89" t="str">
        <f aca="false">IFERROR(__xludf.dummyfunction("REGEXEXTRACT(ADDRESS(ROW(), 34+$H312), ""[A-Z]+"")"),"AH")</f>
        <v>AH</v>
      </c>
      <c r="N312" s="89" t="str">
        <f aca="false">IFERROR(__xludf.dummyfunction("REGEXEXTRACT(ADDRESS(ROW(), 37+$H312), ""[A-Z]+"")"),"AK")</f>
        <v>AK</v>
      </c>
      <c r="O312" s="89" t="str">
        <f aca="false">IFERROR(__xludf.dummyfunction("REGEXEXTRACT(ADDRESS(ROW(), 38+$H312), ""[A-Z]+"")"),"AL")</f>
        <v>AL</v>
      </c>
      <c r="P312" s="89" t="str">
        <f aca="false">IFERROR(__xludf.dummyfunction("REGEXEXTRACT(ADDRESS(ROW(), 39+$H312), ""[A-Z]+"")"),"AM")</f>
        <v>AM</v>
      </c>
      <c r="Q312" s="89" t="str">
        <f aca="false">IFERROR(__xludf.dummyfunction("REGEXEXTRACT(ADDRESS(ROW(), 40+$H312), ""[A-Z]+"")"),"AN")</f>
        <v>AN</v>
      </c>
      <c r="R312" s="89" t="n">
        <f aca="false">IFERROR(__xludf.dummyfunction("IFERROR(QUERY(INDIRECT(""'""&amp;$F312&amp;""'!C3:""&amp;Q312&amp;""""), ""SELECT ""&amp;I312&amp;"", ""&amp;J312&amp;"", ""&amp;K312&amp;"", ""&amp;L312&amp;"", ""&amp;M312&amp;"", ""&amp;N312&amp;"", ""&amp;O312&amp;"", ""&amp;P312&amp;"" WHERE '""&amp;B312&amp;""' CONTAINS D"", 0), """")"),15)</f>
        <v>15</v>
      </c>
      <c r="S312" s="89"/>
      <c r="T312" s="89"/>
      <c r="U312" s="89"/>
      <c r="V312" s="89" t="n">
        <f aca="false">IFERROR(__xludf.dummyfunction("""COMPUTED_VALUE"""),0.02)</f>
        <v>0.02</v>
      </c>
      <c r="W312" s="89"/>
      <c r="X312" s="89" t="n">
        <f aca="false">IFERROR(__xludf.dummyfunction("""COMPUTED_VALUE"""),0)</f>
        <v>0</v>
      </c>
      <c r="Y312" s="89" t="n">
        <f aca="false">IFERROR(__xludf.dummyfunction("""COMPUTED_VALUE"""),15.02)</f>
        <v>15.02</v>
      </c>
    </row>
    <row r="313" customFormat="false" ht="17.9" hidden="false" customHeight="false" outlineLevel="0" collapsed="false">
      <c r="A313" s="85" t="n">
        <v>312</v>
      </c>
      <c r="B313" s="85" t="n">
        <v>467484</v>
      </c>
      <c r="C313" s="86" t="s">
        <v>413</v>
      </c>
      <c r="D313" s="87" t="s">
        <v>91</v>
      </c>
      <c r="E313" s="88" t="str">
        <f aca="false">D313</f>
        <v>P3111</v>
      </c>
      <c r="F313" s="88" t="str">
        <f aca="false">REPLACE(E313, 1, 3, "")</f>
        <v>11</v>
      </c>
      <c r="G313" s="89" t="str">
        <f aca="true">IFERROR(VLOOKUP(B313,INDIRECT("'"&amp;$F313&amp;"'!D3:D"),1,FALSE()), "Not found")</f>
        <v>Not found</v>
      </c>
      <c r="H313" s="89" t="n">
        <f aca="true">INDIRECT("'"&amp;$F313&amp;"'!D1")</f>
        <v>0</v>
      </c>
      <c r="I313" s="89" t="str">
        <f aca="false">IFERROR(__xludf.dummyfunction("REGEXEXTRACT(ADDRESS(ROW(), 19+$H313), ""[A-Z]+"")"),"S")</f>
        <v>S</v>
      </c>
      <c r="J313" s="89" t="str">
        <f aca="false">IFERROR(__xludf.dummyfunction("REGEXEXTRACT(ADDRESS(ROW(), 25+$H313), ""[A-Z]+"")"),"Y")</f>
        <v>Y</v>
      </c>
      <c r="K313" s="89" t="str">
        <f aca="false">IFERROR(__xludf.dummyfunction("REGEXEXTRACT(ADDRESS(ROW(), 27+$H313), ""[A-Z]+"")"),"AA")</f>
        <v>AA</v>
      </c>
      <c r="L313" s="89" t="str">
        <f aca="false">IFERROR(__xludf.dummyfunction("REGEXEXTRACT(ADDRESS(ROW(), 28+$H313), ""[A-Z]+"")"),"AB")</f>
        <v>AB</v>
      </c>
      <c r="M313" s="89" t="str">
        <f aca="false">IFERROR(__xludf.dummyfunction("REGEXEXTRACT(ADDRESS(ROW(), 34+$H313), ""[A-Z]+"")"),"AH")</f>
        <v>AH</v>
      </c>
      <c r="N313" s="89" t="str">
        <f aca="false">IFERROR(__xludf.dummyfunction("REGEXEXTRACT(ADDRESS(ROW(), 37+$H313), ""[A-Z]+"")"),"AK")</f>
        <v>AK</v>
      </c>
      <c r="O313" s="89" t="str">
        <f aca="false">IFERROR(__xludf.dummyfunction("REGEXEXTRACT(ADDRESS(ROW(), 38+$H313), ""[A-Z]+"")"),"AL")</f>
        <v>AL</v>
      </c>
      <c r="P313" s="89" t="str">
        <f aca="false">IFERROR(__xludf.dummyfunction("REGEXEXTRACT(ADDRESS(ROW(), 39+$H313), ""[A-Z]+"")"),"AM")</f>
        <v>AM</v>
      </c>
      <c r="Q313" s="89" t="str">
        <f aca="false">IFERROR(__xludf.dummyfunction("REGEXEXTRACT(ADDRESS(ROW(), 40+$H313), ""[A-Z]+"")"),"AN")</f>
        <v>AN</v>
      </c>
      <c r="R313" s="89" t="str">
        <f aca="false">IFERROR(__xludf.dummyfunction("IFERROR(QUERY(INDIRECT(""'""&amp;$F313&amp;""'!C3:""&amp;Q313&amp;""""), ""SELECT ""&amp;I313&amp;"", ""&amp;J313&amp;"", ""&amp;K313&amp;"", ""&amp;L313&amp;"", ""&amp;M313&amp;"", ""&amp;N313&amp;"", ""&amp;O313&amp;"", ""&amp;P313&amp;"" WHERE '""&amp;B313&amp;""' CONTAINS D"", 0), """")"),"")</f>
        <v/>
      </c>
      <c r="S313" s="89"/>
      <c r="T313" s="89"/>
      <c r="U313" s="89"/>
      <c r="V313" s="89" t="n">
        <f aca="false">IFERROR(__xludf.dummyfunction("""COMPUTED_VALUE"""),0)</f>
        <v>0</v>
      </c>
      <c r="W313" s="89"/>
      <c r="X313" s="89"/>
      <c r="Y313" s="89" t="n">
        <f aca="false">IFERROR(__xludf.dummyfunction("""COMPUTED_VALUE"""),0)</f>
        <v>0</v>
      </c>
    </row>
    <row r="314" customFormat="false" ht="17.9" hidden="false" customHeight="false" outlineLevel="0" collapsed="false">
      <c r="A314" s="85" t="n">
        <v>313</v>
      </c>
      <c r="B314" s="85" t="n">
        <v>467494</v>
      </c>
      <c r="C314" s="86" t="s">
        <v>414</v>
      </c>
      <c r="D314" s="87" t="s">
        <v>85</v>
      </c>
      <c r="E314" s="88" t="str">
        <f aca="false">D314</f>
        <v>P3132</v>
      </c>
      <c r="F314" s="88" t="str">
        <f aca="false">REPLACE(E314, 1, 3, "")</f>
        <v>32</v>
      </c>
      <c r="G314" s="89" t="str">
        <f aca="true">IFERROR(VLOOKUP(B314,INDIRECT("'"&amp;$F314&amp;"'!D3:D"),1,FALSE()), "Not found")</f>
        <v>Not found</v>
      </c>
      <c r="H314" s="89" t="n">
        <f aca="true">INDIRECT("'"&amp;$F314&amp;"'!D1")</f>
        <v>0</v>
      </c>
      <c r="I314" s="89" t="str">
        <f aca="false">IFERROR(__xludf.dummyfunction("REGEXEXTRACT(ADDRESS(ROW(), 19+$H314), ""[A-Z]+"")"),"S")</f>
        <v>S</v>
      </c>
      <c r="J314" s="89" t="str">
        <f aca="false">IFERROR(__xludf.dummyfunction("REGEXEXTRACT(ADDRESS(ROW(), 25+$H314), ""[A-Z]+"")"),"Y")</f>
        <v>Y</v>
      </c>
      <c r="K314" s="89" t="str">
        <f aca="false">IFERROR(__xludf.dummyfunction("REGEXEXTRACT(ADDRESS(ROW(), 27+$H314), ""[A-Z]+"")"),"AA")</f>
        <v>AA</v>
      </c>
      <c r="L314" s="89" t="str">
        <f aca="false">IFERROR(__xludf.dummyfunction("REGEXEXTRACT(ADDRESS(ROW(), 28+$H314), ""[A-Z]+"")"),"AB")</f>
        <v>AB</v>
      </c>
      <c r="M314" s="89" t="str">
        <f aca="false">IFERROR(__xludf.dummyfunction("REGEXEXTRACT(ADDRESS(ROW(), 34+$H314), ""[A-Z]+"")"),"AH")</f>
        <v>AH</v>
      </c>
      <c r="N314" s="89" t="str">
        <f aca="false">IFERROR(__xludf.dummyfunction("REGEXEXTRACT(ADDRESS(ROW(), 37+$H314), ""[A-Z]+"")"),"AK")</f>
        <v>AK</v>
      </c>
      <c r="O314" s="89" t="str">
        <f aca="false">IFERROR(__xludf.dummyfunction("REGEXEXTRACT(ADDRESS(ROW(), 38+$H314), ""[A-Z]+"")"),"AL")</f>
        <v>AL</v>
      </c>
      <c r="P314" s="89" t="str">
        <f aca="false">IFERROR(__xludf.dummyfunction("REGEXEXTRACT(ADDRESS(ROW(), 39+$H314), ""[A-Z]+"")"),"AM")</f>
        <v>AM</v>
      </c>
      <c r="Q314" s="89" t="str">
        <f aca="false">IFERROR(__xludf.dummyfunction("REGEXEXTRACT(ADDRESS(ROW(), 40+$H314), ""[A-Z]+"")"),"AN")</f>
        <v>AN</v>
      </c>
      <c r="R314" s="89" t="n">
        <f aca="false">IFERROR(__xludf.dummyfunction("IFERROR(QUERY(INDIRECT(""'""&amp;$F314&amp;""'!C3:""&amp;Q314&amp;""""), ""SELECT ""&amp;I314&amp;"", ""&amp;J314&amp;"", ""&amp;K314&amp;"", ""&amp;L314&amp;"", ""&amp;M314&amp;"", ""&amp;N314&amp;"", ""&amp;O314&amp;"", ""&amp;P314&amp;"" WHERE '""&amp;B314&amp;""' CONTAINS D"", 0), """")"),0.01)</f>
        <v>0.01</v>
      </c>
      <c r="S314" s="89"/>
      <c r="T314" s="89"/>
      <c r="U314" s="89"/>
      <c r="V314" s="89" t="n">
        <f aca="false">IFERROR(__xludf.dummyfunction("""COMPUTED_VALUE"""),0)</f>
        <v>0</v>
      </c>
      <c r="W314" s="89"/>
      <c r="X314" s="89"/>
      <c r="Y314" s="89" t="n">
        <f aca="false">IFERROR(__xludf.dummyfunction("""COMPUTED_VALUE"""),0.01)</f>
        <v>0.01</v>
      </c>
    </row>
    <row r="315" customFormat="false" ht="17.9" hidden="false" customHeight="false" outlineLevel="0" collapsed="false">
      <c r="A315" s="85" t="n">
        <v>314</v>
      </c>
      <c r="B315" s="85" t="n">
        <v>467495</v>
      </c>
      <c r="C315" s="86" t="s">
        <v>415</v>
      </c>
      <c r="D315" s="87" t="s">
        <v>151</v>
      </c>
      <c r="E315" s="88" t="str">
        <f aca="false">D315</f>
        <v>P3122</v>
      </c>
      <c r="F315" s="88" t="str">
        <f aca="false">REPLACE(E315, 1, 3, "")</f>
        <v>22</v>
      </c>
      <c r="G315" s="89" t="str">
        <f aca="true">IFERROR(VLOOKUP(B315,INDIRECT("'"&amp;$F315&amp;"'!D3:D"),1,FALSE()), "Not found")</f>
        <v>Not found</v>
      </c>
      <c r="H315" s="89" t="n">
        <f aca="true">INDIRECT("'"&amp;$F315&amp;"'!D1")</f>
        <v>0</v>
      </c>
      <c r="I315" s="89" t="str">
        <f aca="false">IFERROR(__xludf.dummyfunction("REGEXEXTRACT(ADDRESS(ROW(), 19+$H315), ""[A-Z]+"")"),"S")</f>
        <v>S</v>
      </c>
      <c r="J315" s="89" t="str">
        <f aca="false">IFERROR(__xludf.dummyfunction("REGEXEXTRACT(ADDRESS(ROW(), 25+$H315), ""[A-Z]+"")"),"Y")</f>
        <v>Y</v>
      </c>
      <c r="K315" s="89" t="str">
        <f aca="false">IFERROR(__xludf.dummyfunction("REGEXEXTRACT(ADDRESS(ROW(), 27+$H315), ""[A-Z]+"")"),"AA")</f>
        <v>AA</v>
      </c>
      <c r="L315" s="89" t="str">
        <f aca="false">IFERROR(__xludf.dummyfunction("REGEXEXTRACT(ADDRESS(ROW(), 28+$H315), ""[A-Z]+"")"),"AB")</f>
        <v>AB</v>
      </c>
      <c r="M315" s="89" t="str">
        <f aca="false">IFERROR(__xludf.dummyfunction("REGEXEXTRACT(ADDRESS(ROW(), 34+$H315), ""[A-Z]+"")"),"AH")</f>
        <v>AH</v>
      </c>
      <c r="N315" s="89" t="str">
        <f aca="false">IFERROR(__xludf.dummyfunction("REGEXEXTRACT(ADDRESS(ROW(), 37+$H315), ""[A-Z]+"")"),"AK")</f>
        <v>AK</v>
      </c>
      <c r="O315" s="89" t="str">
        <f aca="false">IFERROR(__xludf.dummyfunction("REGEXEXTRACT(ADDRESS(ROW(), 38+$H315), ""[A-Z]+"")"),"AL")</f>
        <v>AL</v>
      </c>
      <c r="P315" s="89" t="str">
        <f aca="false">IFERROR(__xludf.dummyfunction("REGEXEXTRACT(ADDRESS(ROW(), 39+$H315), ""[A-Z]+"")"),"AM")</f>
        <v>AM</v>
      </c>
      <c r="Q315" s="89" t="str">
        <f aca="false">IFERROR(__xludf.dummyfunction("REGEXEXTRACT(ADDRESS(ROW(), 40+$H315), ""[A-Z]+"")"),"AN")</f>
        <v>AN</v>
      </c>
      <c r="R315" s="89" t="n">
        <f aca="false">IFERROR(__xludf.dummyfunction("IFERROR(QUERY(INDIRECT(""'""&amp;$F315&amp;""'!C3:""&amp;Q315&amp;""""), ""SELECT ""&amp;I315&amp;"", ""&amp;J315&amp;"", ""&amp;K315&amp;"", ""&amp;L315&amp;"", ""&amp;M315&amp;"", ""&amp;N315&amp;"", ""&amp;O315&amp;"", ""&amp;P315&amp;"" WHERE '""&amp;B315&amp;""' CONTAINS D"", 0), """")"),18)</f>
        <v>18</v>
      </c>
      <c r="S315" s="89" t="n">
        <f aca="false">IFERROR(__xludf.dummyfunction("""COMPUTED_VALUE"""),20)</f>
        <v>20</v>
      </c>
      <c r="T315" s="89"/>
      <c r="U315" s="89"/>
      <c r="V315" s="89" t="n">
        <f aca="false">IFERROR(__xludf.dummyfunction("""COMPUTED_VALUE"""),6)</f>
        <v>6</v>
      </c>
      <c r="W315" s="89"/>
      <c r="X315" s="89" t="n">
        <f aca="false">IFERROR(__xludf.dummyfunction("""COMPUTED_VALUE"""),30)</f>
        <v>30</v>
      </c>
      <c r="Y315" s="89" t="n">
        <f aca="false">IFERROR(__xludf.dummyfunction("""COMPUTED_VALUE"""),74)</f>
        <v>74</v>
      </c>
    </row>
    <row r="316" customFormat="false" ht="17.9" hidden="false" customHeight="false" outlineLevel="0" collapsed="false">
      <c r="A316" s="85" t="n">
        <v>315</v>
      </c>
      <c r="B316" s="85" t="n">
        <v>476011</v>
      </c>
      <c r="C316" s="86" t="s">
        <v>416</v>
      </c>
      <c r="D316" s="87" t="s">
        <v>151</v>
      </c>
      <c r="E316" s="88" t="str">
        <f aca="false">D316</f>
        <v>P3122</v>
      </c>
      <c r="F316" s="88" t="str">
        <f aca="false">REPLACE(E316, 1, 3, "")</f>
        <v>22</v>
      </c>
      <c r="G316" s="89" t="str">
        <f aca="true">IFERROR(VLOOKUP(B316,INDIRECT("'"&amp;$F316&amp;"'!D3:D"),1,FALSE()), "Not found")</f>
        <v>Not found</v>
      </c>
      <c r="H316" s="89" t="n">
        <f aca="true">INDIRECT("'"&amp;$F316&amp;"'!D1")</f>
        <v>0</v>
      </c>
      <c r="I316" s="89" t="str">
        <f aca="false">IFERROR(__xludf.dummyfunction("REGEXEXTRACT(ADDRESS(ROW(), 19+$H316), ""[A-Z]+"")"),"S")</f>
        <v>S</v>
      </c>
      <c r="J316" s="89" t="str">
        <f aca="false">IFERROR(__xludf.dummyfunction("REGEXEXTRACT(ADDRESS(ROW(), 25+$H316), ""[A-Z]+"")"),"Y")</f>
        <v>Y</v>
      </c>
      <c r="K316" s="89" t="str">
        <f aca="false">IFERROR(__xludf.dummyfunction("REGEXEXTRACT(ADDRESS(ROW(), 27+$H316), ""[A-Z]+"")"),"AA")</f>
        <v>AA</v>
      </c>
      <c r="L316" s="89" t="str">
        <f aca="false">IFERROR(__xludf.dummyfunction("REGEXEXTRACT(ADDRESS(ROW(), 28+$H316), ""[A-Z]+"")"),"AB")</f>
        <v>AB</v>
      </c>
      <c r="M316" s="89" t="str">
        <f aca="false">IFERROR(__xludf.dummyfunction("REGEXEXTRACT(ADDRESS(ROW(), 34+$H316), ""[A-Z]+"")"),"AH")</f>
        <v>AH</v>
      </c>
      <c r="N316" s="89" t="str">
        <f aca="false">IFERROR(__xludf.dummyfunction("REGEXEXTRACT(ADDRESS(ROW(), 37+$H316), ""[A-Z]+"")"),"AK")</f>
        <v>AK</v>
      </c>
      <c r="O316" s="89" t="str">
        <f aca="false">IFERROR(__xludf.dummyfunction("REGEXEXTRACT(ADDRESS(ROW(), 38+$H316), ""[A-Z]+"")"),"AL")</f>
        <v>AL</v>
      </c>
      <c r="P316" s="89" t="str">
        <f aca="false">IFERROR(__xludf.dummyfunction("REGEXEXTRACT(ADDRESS(ROW(), 39+$H316), ""[A-Z]+"")"),"AM")</f>
        <v>AM</v>
      </c>
      <c r="Q316" s="89" t="str">
        <f aca="false">IFERROR(__xludf.dummyfunction("REGEXEXTRACT(ADDRESS(ROW(), 40+$H316), ""[A-Z]+"")"),"AN")</f>
        <v>AN</v>
      </c>
      <c r="R316" s="89" t="n">
        <f aca="false">IFERROR(__xludf.dummyfunction("IFERROR(QUERY(INDIRECT(""'""&amp;$F316&amp;""'!C3:""&amp;Q316&amp;""""), ""SELECT ""&amp;I316&amp;"", ""&amp;J316&amp;"", ""&amp;K316&amp;"", ""&amp;L316&amp;"", ""&amp;M316&amp;"", ""&amp;N316&amp;"", ""&amp;O316&amp;"", ""&amp;P316&amp;"" WHERE '""&amp;B316&amp;""' CONTAINS D"", 0), """")"),20)</f>
        <v>20</v>
      </c>
      <c r="S316" s="89" t="n">
        <f aca="false">IFERROR(__xludf.dummyfunction("""COMPUTED_VALUE"""),20)</f>
        <v>20</v>
      </c>
      <c r="T316" s="89"/>
      <c r="U316" s="89"/>
      <c r="V316" s="89" t="n">
        <f aca="false">IFERROR(__xludf.dummyfunction("""COMPUTED_VALUE"""),9)</f>
        <v>9</v>
      </c>
      <c r="W316" s="89" t="n">
        <f aca="false">IFERROR(__xludf.dummyfunction("""COMPUTED_VALUE"""),3)</f>
        <v>3</v>
      </c>
      <c r="X316" s="89" t="n">
        <f aca="false">IFERROR(__xludf.dummyfunction("""COMPUTED_VALUE"""),40)</f>
        <v>40</v>
      </c>
      <c r="Y316" s="89" t="n">
        <f aca="false">IFERROR(__xludf.dummyfunction("""COMPUTED_VALUE"""),92)</f>
        <v>92</v>
      </c>
    </row>
    <row r="317" customFormat="false" ht="17.9" hidden="false" customHeight="false" outlineLevel="0" collapsed="false">
      <c r="A317" s="85" t="n">
        <v>316</v>
      </c>
      <c r="B317" s="85" t="n">
        <v>467507</v>
      </c>
      <c r="C317" s="86" t="s">
        <v>417</v>
      </c>
      <c r="D317" s="87" t="s">
        <v>146</v>
      </c>
      <c r="E317" s="88" t="str">
        <f aca="false">D317</f>
        <v>P3113</v>
      </c>
      <c r="F317" s="88" t="str">
        <f aca="false">REPLACE(E317, 1, 3, "")</f>
        <v>13</v>
      </c>
      <c r="G317" s="89" t="str">
        <f aca="true">IFERROR(VLOOKUP(B317,INDIRECT("'"&amp;$F317&amp;"'!D3:D"),1,FALSE()), "Not found")</f>
        <v>Not found</v>
      </c>
      <c r="H317" s="89" t="n">
        <f aca="true">INDIRECT("'"&amp;$F317&amp;"'!D1")</f>
        <v>0</v>
      </c>
      <c r="I317" s="89" t="str">
        <f aca="false">IFERROR(__xludf.dummyfunction("REGEXEXTRACT(ADDRESS(ROW(), 19+$H317), ""[A-Z]+"")"),"S")</f>
        <v>S</v>
      </c>
      <c r="J317" s="89" t="str">
        <f aca="false">IFERROR(__xludf.dummyfunction("REGEXEXTRACT(ADDRESS(ROW(), 25+$H317), ""[A-Z]+"")"),"Y")</f>
        <v>Y</v>
      </c>
      <c r="K317" s="89" t="str">
        <f aca="false">IFERROR(__xludf.dummyfunction("REGEXEXTRACT(ADDRESS(ROW(), 27+$H317), ""[A-Z]+"")"),"AA")</f>
        <v>AA</v>
      </c>
      <c r="L317" s="89" t="str">
        <f aca="false">IFERROR(__xludf.dummyfunction("REGEXEXTRACT(ADDRESS(ROW(), 28+$H317), ""[A-Z]+"")"),"AB")</f>
        <v>AB</v>
      </c>
      <c r="M317" s="89" t="str">
        <f aca="false">IFERROR(__xludf.dummyfunction("REGEXEXTRACT(ADDRESS(ROW(), 34+$H317), ""[A-Z]+"")"),"AH")</f>
        <v>AH</v>
      </c>
      <c r="N317" s="89" t="str">
        <f aca="false">IFERROR(__xludf.dummyfunction("REGEXEXTRACT(ADDRESS(ROW(), 37+$H317), ""[A-Z]+"")"),"AK")</f>
        <v>AK</v>
      </c>
      <c r="O317" s="89" t="str">
        <f aca="false">IFERROR(__xludf.dummyfunction("REGEXEXTRACT(ADDRESS(ROW(), 38+$H317), ""[A-Z]+"")"),"AL")</f>
        <v>AL</v>
      </c>
      <c r="P317" s="89" t="str">
        <f aca="false">IFERROR(__xludf.dummyfunction("REGEXEXTRACT(ADDRESS(ROW(), 39+$H317), ""[A-Z]+"")"),"AM")</f>
        <v>AM</v>
      </c>
      <c r="Q317" s="89" t="str">
        <f aca="false">IFERROR(__xludf.dummyfunction("REGEXEXTRACT(ADDRESS(ROW(), 40+$H317), ""[A-Z]+"")"),"AN")</f>
        <v>AN</v>
      </c>
      <c r="R317" s="89" t="n">
        <f aca="false">IFERROR(__xludf.dummyfunction("IFERROR(QUERY(INDIRECT(""'""&amp;$F317&amp;""'!C3:""&amp;Q317&amp;""""), ""SELECT ""&amp;I317&amp;"", ""&amp;J317&amp;"", ""&amp;K317&amp;"", ""&amp;L317&amp;"", ""&amp;M317&amp;"", ""&amp;N317&amp;"", ""&amp;O317&amp;"", ""&amp;P317&amp;"" WHERE '""&amp;B317&amp;""' CONTAINS D"", 0), """")"),19)</f>
        <v>19</v>
      </c>
      <c r="S317" s="89" t="n">
        <f aca="false">IFERROR(__xludf.dummyfunction("""COMPUTED_VALUE"""),18)</f>
        <v>18</v>
      </c>
      <c r="T317" s="89"/>
      <c r="U317" s="89"/>
      <c r="V317" s="89" t="n">
        <f aca="false">IFERROR(__xludf.dummyfunction("""COMPUTED_VALUE"""),6)</f>
        <v>6</v>
      </c>
      <c r="W317" s="89" t="n">
        <f aca="false">IFERROR(__xludf.dummyfunction("""COMPUTED_VALUE"""),3)</f>
        <v>3</v>
      </c>
      <c r="X317" s="89" t="n">
        <f aca="false">IFERROR(__xludf.dummyfunction("""COMPUTED_VALUE"""),24)</f>
        <v>24</v>
      </c>
      <c r="Y317" s="89" t="n">
        <f aca="false">IFERROR(__xludf.dummyfunction("""COMPUTED_VALUE"""),70)</f>
        <v>70</v>
      </c>
    </row>
    <row r="318" customFormat="false" ht="17.9" hidden="false" customHeight="false" outlineLevel="0" collapsed="false">
      <c r="A318" s="85" t="n">
        <v>317</v>
      </c>
      <c r="B318" s="85" t="n">
        <v>467509</v>
      </c>
      <c r="C318" s="86" t="s">
        <v>418</v>
      </c>
      <c r="D318" s="87" t="s">
        <v>89</v>
      </c>
      <c r="E318" s="88" t="str">
        <f aca="false">D318</f>
        <v>P3119</v>
      </c>
      <c r="F318" s="88" t="str">
        <f aca="false">REPLACE(E318, 1, 3, "")</f>
        <v>19</v>
      </c>
      <c r="G318" s="89" t="str">
        <f aca="true">IFERROR(VLOOKUP(B318,INDIRECT("'"&amp;$F318&amp;"'!D3:D"),1,FALSE()), "Not found")</f>
        <v>Not found</v>
      </c>
      <c r="H318" s="89" t="n">
        <f aca="true">INDIRECT("'"&amp;$F318&amp;"'!D1")</f>
        <v>0</v>
      </c>
      <c r="I318" s="89" t="str">
        <f aca="false">IFERROR(__xludf.dummyfunction("REGEXEXTRACT(ADDRESS(ROW(), 19+$H318), ""[A-Z]+"")"),"S")</f>
        <v>S</v>
      </c>
      <c r="J318" s="89" t="str">
        <f aca="false">IFERROR(__xludf.dummyfunction("REGEXEXTRACT(ADDRESS(ROW(), 25+$H318), ""[A-Z]+"")"),"Y")</f>
        <v>Y</v>
      </c>
      <c r="K318" s="89" t="str">
        <f aca="false">IFERROR(__xludf.dummyfunction("REGEXEXTRACT(ADDRESS(ROW(), 27+$H318), ""[A-Z]+"")"),"AA")</f>
        <v>AA</v>
      </c>
      <c r="L318" s="89" t="str">
        <f aca="false">IFERROR(__xludf.dummyfunction("REGEXEXTRACT(ADDRESS(ROW(), 28+$H318), ""[A-Z]+"")"),"AB")</f>
        <v>AB</v>
      </c>
      <c r="M318" s="89" t="str">
        <f aca="false">IFERROR(__xludf.dummyfunction("REGEXEXTRACT(ADDRESS(ROW(), 34+$H318), ""[A-Z]+"")"),"AH")</f>
        <v>AH</v>
      </c>
      <c r="N318" s="89" t="str">
        <f aca="false">IFERROR(__xludf.dummyfunction("REGEXEXTRACT(ADDRESS(ROW(), 37+$H318), ""[A-Z]+"")"),"AK")</f>
        <v>AK</v>
      </c>
      <c r="O318" s="89" t="str">
        <f aca="false">IFERROR(__xludf.dummyfunction("REGEXEXTRACT(ADDRESS(ROW(), 38+$H318), ""[A-Z]+"")"),"AL")</f>
        <v>AL</v>
      </c>
      <c r="P318" s="89" t="str">
        <f aca="false">IFERROR(__xludf.dummyfunction("REGEXEXTRACT(ADDRESS(ROW(), 39+$H318), ""[A-Z]+"")"),"AM")</f>
        <v>AM</v>
      </c>
      <c r="Q318" s="89" t="str">
        <f aca="false">IFERROR(__xludf.dummyfunction("REGEXEXTRACT(ADDRESS(ROW(), 40+$H318), ""[A-Z]+"")"),"AN")</f>
        <v>AN</v>
      </c>
      <c r="R318" s="89" t="n">
        <f aca="false">IFERROR(__xludf.dummyfunction("IFERROR(QUERY(INDIRECT(""'""&amp;$F318&amp;""'!C3:""&amp;Q318&amp;""""), ""SELECT ""&amp;I318&amp;"", ""&amp;J318&amp;"", ""&amp;K318&amp;"", ""&amp;L318&amp;"", ""&amp;M318&amp;"", ""&amp;N318&amp;"", ""&amp;O318&amp;"", ""&amp;P318&amp;"" WHERE '""&amp;B318&amp;""' CONTAINS D"", 0), """")"),19)</f>
        <v>19</v>
      </c>
      <c r="S318" s="89" t="n">
        <f aca="false">IFERROR(__xludf.dummyfunction("""COMPUTED_VALUE"""),16)</f>
        <v>16</v>
      </c>
      <c r="T318" s="89"/>
      <c r="U318" s="89"/>
      <c r="V318" s="89" t="n">
        <f aca="false">IFERROR(__xludf.dummyfunction("""COMPUTED_VALUE"""),6)</f>
        <v>6</v>
      </c>
      <c r="W318" s="89"/>
      <c r="X318" s="89" t="n">
        <f aca="false">IFERROR(__xludf.dummyfunction("""COMPUTED_VALUE"""),40)</f>
        <v>40</v>
      </c>
      <c r="Y318" s="89" t="n">
        <f aca="false">IFERROR(__xludf.dummyfunction("""COMPUTED_VALUE"""),81)</f>
        <v>81</v>
      </c>
    </row>
    <row r="319" customFormat="false" ht="17.9" hidden="false" customHeight="false" outlineLevel="0" collapsed="false">
      <c r="A319" s="85" t="n">
        <v>318</v>
      </c>
      <c r="B319" s="85" t="n">
        <v>268766</v>
      </c>
      <c r="C319" s="86" t="s">
        <v>419</v>
      </c>
      <c r="D319" s="87" t="s">
        <v>85</v>
      </c>
      <c r="E319" s="88" t="str">
        <f aca="false">D319</f>
        <v>P3132</v>
      </c>
      <c r="F319" s="88" t="str">
        <f aca="false">REPLACE(E319, 1, 3, "")</f>
        <v>32</v>
      </c>
      <c r="G319" s="89" t="str">
        <f aca="true">IFERROR(VLOOKUP(B319,INDIRECT("'"&amp;$F319&amp;"'!D3:D"),1,FALSE()), "Not found")</f>
        <v>Not found</v>
      </c>
      <c r="H319" s="89" t="n">
        <f aca="true">INDIRECT("'"&amp;$F319&amp;"'!D1")</f>
        <v>0</v>
      </c>
      <c r="I319" s="89" t="str">
        <f aca="false">IFERROR(__xludf.dummyfunction("REGEXEXTRACT(ADDRESS(ROW(), 19+$H319), ""[A-Z]+"")"),"S")</f>
        <v>S</v>
      </c>
      <c r="J319" s="89" t="str">
        <f aca="false">IFERROR(__xludf.dummyfunction("REGEXEXTRACT(ADDRESS(ROW(), 25+$H319), ""[A-Z]+"")"),"Y")</f>
        <v>Y</v>
      </c>
      <c r="K319" s="89" t="str">
        <f aca="false">IFERROR(__xludf.dummyfunction("REGEXEXTRACT(ADDRESS(ROW(), 27+$H319), ""[A-Z]+"")"),"AA")</f>
        <v>AA</v>
      </c>
      <c r="L319" s="89" t="str">
        <f aca="false">IFERROR(__xludf.dummyfunction("REGEXEXTRACT(ADDRESS(ROW(), 28+$H319), ""[A-Z]+"")"),"AB")</f>
        <v>AB</v>
      </c>
      <c r="M319" s="89" t="str">
        <f aca="false">IFERROR(__xludf.dummyfunction("REGEXEXTRACT(ADDRESS(ROW(), 34+$H319), ""[A-Z]+"")"),"AH")</f>
        <v>AH</v>
      </c>
      <c r="N319" s="89" t="str">
        <f aca="false">IFERROR(__xludf.dummyfunction("REGEXEXTRACT(ADDRESS(ROW(), 37+$H319), ""[A-Z]+"")"),"AK")</f>
        <v>AK</v>
      </c>
      <c r="O319" s="89" t="str">
        <f aca="false">IFERROR(__xludf.dummyfunction("REGEXEXTRACT(ADDRESS(ROW(), 38+$H319), ""[A-Z]+"")"),"AL")</f>
        <v>AL</v>
      </c>
      <c r="P319" s="89" t="str">
        <f aca="false">IFERROR(__xludf.dummyfunction("REGEXEXTRACT(ADDRESS(ROW(), 39+$H319), ""[A-Z]+"")"),"AM")</f>
        <v>AM</v>
      </c>
      <c r="Q319" s="89" t="str">
        <f aca="false">IFERROR(__xludf.dummyfunction("REGEXEXTRACT(ADDRESS(ROW(), 40+$H319), ""[A-Z]+"")"),"AN")</f>
        <v>AN</v>
      </c>
      <c r="R319" s="89" t="str">
        <f aca="false">IFERROR(__xludf.dummyfunction("IFERROR(QUERY(INDIRECT(""'""&amp;$F319&amp;""'!C3:""&amp;Q319&amp;""""), ""SELECT ""&amp;I319&amp;"", ""&amp;J319&amp;"", ""&amp;K319&amp;"", ""&amp;L319&amp;"", ""&amp;M319&amp;"", ""&amp;N319&amp;"", ""&amp;O319&amp;"", ""&amp;P319&amp;"" WHERE '""&amp;B319&amp;""' CONTAINS D"", 0), """")"),"")</f>
        <v/>
      </c>
      <c r="S319" s="89"/>
      <c r="T319" s="89"/>
      <c r="U319" s="89"/>
      <c r="V319" s="89" t="n">
        <f aca="false">IFERROR(__xludf.dummyfunction("""COMPUTED_VALUE"""),0)</f>
        <v>0</v>
      </c>
      <c r="W319" s="89"/>
      <c r="X319" s="89"/>
      <c r="Y319" s="89" t="n">
        <f aca="false">IFERROR(__xludf.dummyfunction("""COMPUTED_VALUE"""),0)</f>
        <v>0</v>
      </c>
    </row>
    <row r="320" customFormat="false" ht="17.9" hidden="false" customHeight="false" outlineLevel="0" collapsed="false">
      <c r="A320" s="85" t="n">
        <v>319</v>
      </c>
      <c r="B320" s="85" t="n">
        <v>467525</v>
      </c>
      <c r="C320" s="86" t="s">
        <v>420</v>
      </c>
      <c r="D320" s="87" t="s">
        <v>125</v>
      </c>
      <c r="E320" s="88" t="str">
        <f aca="false">D320</f>
        <v>P3115</v>
      </c>
      <c r="F320" s="88" t="str">
        <f aca="false">REPLACE(E320, 1, 3, "")</f>
        <v>15</v>
      </c>
      <c r="G320" s="89" t="str">
        <f aca="true">IFERROR(VLOOKUP(B320,INDIRECT("'"&amp;$F320&amp;"'!D3:D"),1,FALSE()), "Not found")</f>
        <v>Not found</v>
      </c>
      <c r="H320" s="89" t="n">
        <f aca="true">INDIRECT("'"&amp;$F320&amp;"'!D1")</f>
        <v>1</v>
      </c>
      <c r="I320" s="89" t="str">
        <f aca="false">IFERROR(__xludf.dummyfunction("REGEXEXTRACT(ADDRESS(ROW(), 19+$H320), ""[A-Z]+"")"),"T")</f>
        <v>T</v>
      </c>
      <c r="J320" s="89" t="str">
        <f aca="false">IFERROR(__xludf.dummyfunction("REGEXEXTRACT(ADDRESS(ROW(), 25+$H320), ""[A-Z]+"")"),"Z")</f>
        <v>Z</v>
      </c>
      <c r="K320" s="89" t="str">
        <f aca="false">IFERROR(__xludf.dummyfunction("REGEXEXTRACT(ADDRESS(ROW(), 27+$H320), ""[A-Z]+"")"),"AB")</f>
        <v>AB</v>
      </c>
      <c r="L320" s="89" t="str">
        <f aca="false">IFERROR(__xludf.dummyfunction("REGEXEXTRACT(ADDRESS(ROW(), 28+$H320), ""[A-Z]+"")"),"AC")</f>
        <v>AC</v>
      </c>
      <c r="M320" s="89" t="str">
        <f aca="false">IFERROR(__xludf.dummyfunction("REGEXEXTRACT(ADDRESS(ROW(), 34+$H320), ""[A-Z]+"")"),"AI")</f>
        <v>AI</v>
      </c>
      <c r="N320" s="89" t="str">
        <f aca="false">IFERROR(__xludf.dummyfunction("REGEXEXTRACT(ADDRESS(ROW(), 37+$H320), ""[A-Z]+"")"),"AL")</f>
        <v>AL</v>
      </c>
      <c r="O320" s="89" t="str">
        <f aca="false">IFERROR(__xludf.dummyfunction("REGEXEXTRACT(ADDRESS(ROW(), 38+$H320), ""[A-Z]+"")"),"AM")</f>
        <v>AM</v>
      </c>
      <c r="P320" s="89" t="str">
        <f aca="false">IFERROR(__xludf.dummyfunction("REGEXEXTRACT(ADDRESS(ROW(), 39+$H320), ""[A-Z]+"")"),"AN")</f>
        <v>AN</v>
      </c>
      <c r="Q320" s="89" t="str">
        <f aca="false">IFERROR(__xludf.dummyfunction("REGEXEXTRACT(ADDRESS(ROW(), 40+$H320), ""[A-Z]+"")"),"AO")</f>
        <v>AO</v>
      </c>
      <c r="R320" s="89" t="n">
        <f aca="false">IFERROR(__xludf.dummyfunction("IFERROR(QUERY(INDIRECT(""'""&amp;$F320&amp;""'!C3:""&amp;Q320&amp;""""), ""SELECT ""&amp;I320&amp;"", ""&amp;J320&amp;"", ""&amp;K320&amp;"", ""&amp;L320&amp;"", ""&amp;M320&amp;"", ""&amp;N320&amp;"", ""&amp;O320&amp;"", ""&amp;P320&amp;"" WHERE '""&amp;B320&amp;""' CONTAINS D"", 0), """")"),18.5)</f>
        <v>18.5</v>
      </c>
      <c r="S320" s="89" t="n">
        <f aca="false">IFERROR(__xludf.dummyfunction("""COMPUTED_VALUE"""),17)</f>
        <v>17</v>
      </c>
      <c r="T320" s="89"/>
      <c r="U320" s="89"/>
      <c r="V320" s="89" t="n">
        <f aca="false">IFERROR(__xludf.dummyfunction("""COMPUTED_VALUE"""),6)</f>
        <v>6</v>
      </c>
      <c r="W320" s="89"/>
      <c r="X320" s="89" t="n">
        <f aca="false">IFERROR(__xludf.dummyfunction("""COMPUTED_VALUE"""),30)</f>
        <v>30</v>
      </c>
      <c r="Y320" s="89" t="n">
        <f aca="false">IFERROR(__xludf.dummyfunction("""COMPUTED_VALUE"""),71.5)</f>
        <v>71.5</v>
      </c>
    </row>
    <row r="321" customFormat="false" ht="17.9" hidden="false" customHeight="false" outlineLevel="0" collapsed="false">
      <c r="A321" s="85" t="n">
        <v>320</v>
      </c>
      <c r="B321" s="85" t="n">
        <v>467530</v>
      </c>
      <c r="C321" s="86" t="s">
        <v>421</v>
      </c>
      <c r="D321" s="87" t="s">
        <v>83</v>
      </c>
      <c r="E321" s="88" t="str">
        <f aca="false">D321</f>
        <v>P3109</v>
      </c>
      <c r="F321" s="88" t="str">
        <f aca="false">REPLACE(E321, 1, 3, "")</f>
        <v>09</v>
      </c>
      <c r="G321" s="89" t="str">
        <f aca="true">IFERROR(VLOOKUP(B321,INDIRECT("'"&amp;$F321&amp;"'!D3:D"),1,FALSE()), "Not found")</f>
        <v>Not found</v>
      </c>
      <c r="H321" s="89" t="n">
        <f aca="true">INDIRECT("'"&amp;$F321&amp;"'!D1")</f>
        <v>0</v>
      </c>
      <c r="I321" s="89" t="str">
        <f aca="false">IFERROR(__xludf.dummyfunction("REGEXEXTRACT(ADDRESS(ROW(), 19+$H321), ""[A-Z]+"")"),"S")</f>
        <v>S</v>
      </c>
      <c r="J321" s="89" t="str">
        <f aca="false">IFERROR(__xludf.dummyfunction("REGEXEXTRACT(ADDRESS(ROW(), 25+$H321), ""[A-Z]+"")"),"Y")</f>
        <v>Y</v>
      </c>
      <c r="K321" s="89" t="str">
        <f aca="false">IFERROR(__xludf.dummyfunction("REGEXEXTRACT(ADDRESS(ROW(), 27+$H321), ""[A-Z]+"")"),"AA")</f>
        <v>AA</v>
      </c>
      <c r="L321" s="89" t="str">
        <f aca="false">IFERROR(__xludf.dummyfunction("REGEXEXTRACT(ADDRESS(ROW(), 28+$H321), ""[A-Z]+"")"),"AB")</f>
        <v>AB</v>
      </c>
      <c r="M321" s="89" t="str">
        <f aca="false">IFERROR(__xludf.dummyfunction("REGEXEXTRACT(ADDRESS(ROW(), 34+$H321), ""[A-Z]+"")"),"AH")</f>
        <v>AH</v>
      </c>
      <c r="N321" s="89" t="str">
        <f aca="false">IFERROR(__xludf.dummyfunction("REGEXEXTRACT(ADDRESS(ROW(), 37+$H321), ""[A-Z]+"")"),"AK")</f>
        <v>AK</v>
      </c>
      <c r="O321" s="89" t="str">
        <f aca="false">IFERROR(__xludf.dummyfunction("REGEXEXTRACT(ADDRESS(ROW(), 38+$H321), ""[A-Z]+"")"),"AL")</f>
        <v>AL</v>
      </c>
      <c r="P321" s="89" t="str">
        <f aca="false">IFERROR(__xludf.dummyfunction("REGEXEXTRACT(ADDRESS(ROW(), 39+$H321), ""[A-Z]+"")"),"AM")</f>
        <v>AM</v>
      </c>
      <c r="Q321" s="89" t="str">
        <f aca="false">IFERROR(__xludf.dummyfunction("REGEXEXTRACT(ADDRESS(ROW(), 40+$H321), ""[A-Z]+"")"),"AN")</f>
        <v>AN</v>
      </c>
      <c r="R321" s="89" t="n">
        <f aca="false">IFERROR(__xludf.dummyfunction("IFERROR(QUERY(INDIRECT(""'""&amp;$F321&amp;""'!C3:""&amp;Q321&amp;""""), ""SELECT ""&amp;I321&amp;"", ""&amp;J321&amp;"", ""&amp;K321&amp;"", ""&amp;L321&amp;"", ""&amp;M321&amp;"", ""&amp;N321&amp;"", ""&amp;O321&amp;"", ""&amp;P321&amp;"" WHERE '""&amp;B321&amp;""' CONTAINS D"", 0), """")"),16)</f>
        <v>16</v>
      </c>
      <c r="S321" s="89" t="n">
        <f aca="false">IFERROR(__xludf.dummyfunction("""COMPUTED_VALUE"""),14)</f>
        <v>14</v>
      </c>
      <c r="T321" s="89"/>
      <c r="U321" s="89"/>
      <c r="V321" s="89" t="n">
        <f aca="false">IFERROR(__xludf.dummyfunction("""COMPUTED_VALUE"""),6)</f>
        <v>6</v>
      </c>
      <c r="W321" s="89"/>
      <c r="X321" s="89" t="n">
        <f aca="false">IFERROR(__xludf.dummyfunction("""COMPUTED_VALUE"""),25)</f>
        <v>25</v>
      </c>
      <c r="Y321" s="89" t="n">
        <f aca="false">IFERROR(__xludf.dummyfunction("""COMPUTED_VALUE"""),61)</f>
        <v>61</v>
      </c>
    </row>
    <row r="322" customFormat="false" ht="17.9" hidden="false" customHeight="false" outlineLevel="0" collapsed="false">
      <c r="A322" s="85" t="n">
        <v>321</v>
      </c>
      <c r="B322" s="85" t="n">
        <v>467537</v>
      </c>
      <c r="C322" s="86" t="s">
        <v>422</v>
      </c>
      <c r="D322" s="87" t="s">
        <v>81</v>
      </c>
      <c r="E322" s="88" t="str">
        <f aca="false">D322</f>
        <v>P3108</v>
      </c>
      <c r="F322" s="88" t="str">
        <f aca="false">REPLACE(E322, 1, 3, "")</f>
        <v>08</v>
      </c>
      <c r="G322" s="89" t="str">
        <f aca="true">IFERROR(VLOOKUP(B322,INDIRECT("'"&amp;$F322&amp;"'!D3:D"),1,FALSE()), "Not found")</f>
        <v>Not found</v>
      </c>
      <c r="H322" s="89" t="n">
        <f aca="true">INDIRECT("'"&amp;$F322&amp;"'!D1")</f>
        <v>0</v>
      </c>
      <c r="I322" s="89" t="str">
        <f aca="false">IFERROR(__xludf.dummyfunction("REGEXEXTRACT(ADDRESS(ROW(), 19+$H322), ""[A-Z]+"")"),"S")</f>
        <v>S</v>
      </c>
      <c r="J322" s="89" t="str">
        <f aca="false">IFERROR(__xludf.dummyfunction("REGEXEXTRACT(ADDRESS(ROW(), 25+$H322), ""[A-Z]+"")"),"Y")</f>
        <v>Y</v>
      </c>
      <c r="K322" s="89" t="str">
        <f aca="false">IFERROR(__xludf.dummyfunction("REGEXEXTRACT(ADDRESS(ROW(), 27+$H322), ""[A-Z]+"")"),"AA")</f>
        <v>AA</v>
      </c>
      <c r="L322" s="89" t="str">
        <f aca="false">IFERROR(__xludf.dummyfunction("REGEXEXTRACT(ADDRESS(ROW(), 28+$H322), ""[A-Z]+"")"),"AB")</f>
        <v>AB</v>
      </c>
      <c r="M322" s="89" t="str">
        <f aca="false">IFERROR(__xludf.dummyfunction("REGEXEXTRACT(ADDRESS(ROW(), 34+$H322), ""[A-Z]+"")"),"AH")</f>
        <v>AH</v>
      </c>
      <c r="N322" s="89" t="str">
        <f aca="false">IFERROR(__xludf.dummyfunction("REGEXEXTRACT(ADDRESS(ROW(), 37+$H322), ""[A-Z]+"")"),"AK")</f>
        <v>AK</v>
      </c>
      <c r="O322" s="89" t="str">
        <f aca="false">IFERROR(__xludf.dummyfunction("REGEXEXTRACT(ADDRESS(ROW(), 38+$H322), ""[A-Z]+"")"),"AL")</f>
        <v>AL</v>
      </c>
      <c r="P322" s="89" t="str">
        <f aca="false">IFERROR(__xludf.dummyfunction("REGEXEXTRACT(ADDRESS(ROW(), 39+$H322), ""[A-Z]+"")"),"AM")</f>
        <v>AM</v>
      </c>
      <c r="Q322" s="89" t="str">
        <f aca="false">IFERROR(__xludf.dummyfunction("REGEXEXTRACT(ADDRESS(ROW(), 40+$H322), ""[A-Z]+"")"),"AN")</f>
        <v>AN</v>
      </c>
      <c r="R322" s="89" t="n">
        <f aca="false">IFERROR(__xludf.dummyfunction("IFERROR(QUERY(INDIRECT(""'""&amp;$F322&amp;""'!C3:""&amp;Q322&amp;""""), ""SELECT ""&amp;I322&amp;"", ""&amp;J322&amp;"", ""&amp;K322&amp;"", ""&amp;L322&amp;"", ""&amp;M322&amp;"", ""&amp;N322&amp;"", ""&amp;O322&amp;"", ""&amp;P322&amp;"" WHERE '""&amp;B322&amp;""' CONTAINS D"", 0), """")"),20)</f>
        <v>20</v>
      </c>
      <c r="S322" s="89" t="n">
        <f aca="false">IFERROR(__xludf.dummyfunction("""COMPUTED_VALUE"""),20)</f>
        <v>20</v>
      </c>
      <c r="T322" s="89"/>
      <c r="U322" s="89"/>
      <c r="V322" s="89" t="n">
        <f aca="false">IFERROR(__xludf.dummyfunction("""COMPUTED_VALUE"""),10)</f>
        <v>10</v>
      </c>
      <c r="W322" s="89"/>
      <c r="X322" s="89" t="n">
        <f aca="false">IFERROR(__xludf.dummyfunction("""COMPUTED_VALUE"""),40)</f>
        <v>40</v>
      </c>
      <c r="Y322" s="89" t="n">
        <f aca="false">IFERROR(__xludf.dummyfunction("""COMPUTED_VALUE"""),90)</f>
        <v>90</v>
      </c>
    </row>
    <row r="323" customFormat="false" ht="17.9" hidden="false" customHeight="false" outlineLevel="0" collapsed="false">
      <c r="A323" s="85" t="n">
        <v>322</v>
      </c>
      <c r="B323" s="85" t="n">
        <v>467546</v>
      </c>
      <c r="C323" s="86" t="s">
        <v>423</v>
      </c>
      <c r="D323" s="87" t="s">
        <v>95</v>
      </c>
      <c r="E323" s="88" t="str">
        <f aca="false">D323</f>
        <v>P3106</v>
      </c>
      <c r="F323" s="88" t="str">
        <f aca="false">REPLACE(E323, 1, 3, "")</f>
        <v>06</v>
      </c>
      <c r="G323" s="89" t="str">
        <f aca="true">IFERROR(VLOOKUP(B323,INDIRECT("'"&amp;$F323&amp;"'!D3:D"),1,FALSE()), "Not found")</f>
        <v>Not found</v>
      </c>
      <c r="H323" s="89" t="n">
        <f aca="true">INDIRECT("'"&amp;$F323&amp;"'!D1")</f>
        <v>0</v>
      </c>
      <c r="I323" s="89" t="str">
        <f aca="false">IFERROR(__xludf.dummyfunction("REGEXEXTRACT(ADDRESS(ROW(), 19+$H323), ""[A-Z]+"")"),"S")</f>
        <v>S</v>
      </c>
      <c r="J323" s="89" t="str">
        <f aca="false">IFERROR(__xludf.dummyfunction("REGEXEXTRACT(ADDRESS(ROW(), 25+$H323), ""[A-Z]+"")"),"Y")</f>
        <v>Y</v>
      </c>
      <c r="K323" s="89" t="str">
        <f aca="false">IFERROR(__xludf.dummyfunction("REGEXEXTRACT(ADDRESS(ROW(), 27+$H323), ""[A-Z]+"")"),"AA")</f>
        <v>AA</v>
      </c>
      <c r="L323" s="89" t="str">
        <f aca="false">IFERROR(__xludf.dummyfunction("REGEXEXTRACT(ADDRESS(ROW(), 28+$H323), ""[A-Z]+"")"),"AB")</f>
        <v>AB</v>
      </c>
      <c r="M323" s="89" t="str">
        <f aca="false">IFERROR(__xludf.dummyfunction("REGEXEXTRACT(ADDRESS(ROW(), 34+$H323), ""[A-Z]+"")"),"AH")</f>
        <v>AH</v>
      </c>
      <c r="N323" s="89" t="str">
        <f aca="false">IFERROR(__xludf.dummyfunction("REGEXEXTRACT(ADDRESS(ROW(), 37+$H323), ""[A-Z]+"")"),"AK")</f>
        <v>AK</v>
      </c>
      <c r="O323" s="89" t="str">
        <f aca="false">IFERROR(__xludf.dummyfunction("REGEXEXTRACT(ADDRESS(ROW(), 38+$H323), ""[A-Z]+"")"),"AL")</f>
        <v>AL</v>
      </c>
      <c r="P323" s="89" t="str">
        <f aca="false">IFERROR(__xludf.dummyfunction("REGEXEXTRACT(ADDRESS(ROW(), 39+$H323), ""[A-Z]+"")"),"AM")</f>
        <v>AM</v>
      </c>
      <c r="Q323" s="89" t="str">
        <f aca="false">IFERROR(__xludf.dummyfunction("REGEXEXTRACT(ADDRESS(ROW(), 40+$H323), ""[A-Z]+"")"),"AN")</f>
        <v>AN</v>
      </c>
      <c r="R323" s="89" t="n">
        <f aca="false">IFERROR(__xludf.dummyfunction("IFERROR(QUERY(INDIRECT(""'""&amp;$F323&amp;""'!C3:""&amp;Q323&amp;""""), ""SELECT ""&amp;I323&amp;"", ""&amp;J323&amp;"", ""&amp;K323&amp;"", ""&amp;L323&amp;"", ""&amp;M323&amp;"", ""&amp;N323&amp;"", ""&amp;O323&amp;"", ""&amp;P323&amp;"" WHERE '""&amp;B323&amp;""' CONTAINS D"", 0), """")"),15)</f>
        <v>15</v>
      </c>
      <c r="S323" s="89" t="n">
        <f aca="false">IFERROR(__xludf.dummyfunction("""COMPUTED_VALUE"""),17)</f>
        <v>17</v>
      </c>
      <c r="T323" s="89"/>
      <c r="U323" s="89"/>
      <c r="V323" s="89" t="n">
        <f aca="false">IFERROR(__xludf.dummyfunction("""COMPUTED_VALUE"""),6)</f>
        <v>6</v>
      </c>
      <c r="W323" s="89"/>
      <c r="X323" s="89" t="n">
        <f aca="false">IFERROR(__xludf.dummyfunction("""COMPUTED_VALUE"""),36)</f>
        <v>36</v>
      </c>
      <c r="Y323" s="89" t="n">
        <f aca="false">IFERROR(__xludf.dummyfunction("""COMPUTED_VALUE"""),74)</f>
        <v>74</v>
      </c>
    </row>
    <row r="324" customFormat="false" ht="17.9" hidden="false" customHeight="false" outlineLevel="0" collapsed="false">
      <c r="A324" s="85" t="n">
        <v>323</v>
      </c>
      <c r="B324" s="85" t="n">
        <v>467549</v>
      </c>
      <c r="C324" s="86" t="s">
        <v>424</v>
      </c>
      <c r="D324" s="87" t="s">
        <v>87</v>
      </c>
      <c r="E324" s="88" t="str">
        <f aca="false">D324</f>
        <v>P3130</v>
      </c>
      <c r="F324" s="88" t="str">
        <f aca="false">REPLACE(E324, 1, 3, "")</f>
        <v>30</v>
      </c>
      <c r="G324" s="89" t="str">
        <f aca="true">IFERROR(VLOOKUP(B324,INDIRECT("'"&amp;$F324&amp;"'!D3:D"),1,FALSE()), "Not found")</f>
        <v>Not found</v>
      </c>
      <c r="H324" s="89" t="n">
        <f aca="true">INDIRECT("'"&amp;$F324&amp;"'!D1")</f>
        <v>0</v>
      </c>
      <c r="I324" s="89" t="str">
        <f aca="false">IFERROR(__xludf.dummyfunction("REGEXEXTRACT(ADDRESS(ROW(), 19+$H324), ""[A-Z]+"")"),"S")</f>
        <v>S</v>
      </c>
      <c r="J324" s="89" t="str">
        <f aca="false">IFERROR(__xludf.dummyfunction("REGEXEXTRACT(ADDRESS(ROW(), 25+$H324), ""[A-Z]+"")"),"Y")</f>
        <v>Y</v>
      </c>
      <c r="K324" s="89" t="str">
        <f aca="false">IFERROR(__xludf.dummyfunction("REGEXEXTRACT(ADDRESS(ROW(), 27+$H324), ""[A-Z]+"")"),"AA")</f>
        <v>AA</v>
      </c>
      <c r="L324" s="89" t="str">
        <f aca="false">IFERROR(__xludf.dummyfunction("REGEXEXTRACT(ADDRESS(ROW(), 28+$H324), ""[A-Z]+"")"),"AB")</f>
        <v>AB</v>
      </c>
      <c r="M324" s="89" t="str">
        <f aca="false">IFERROR(__xludf.dummyfunction("REGEXEXTRACT(ADDRESS(ROW(), 34+$H324), ""[A-Z]+"")"),"AH")</f>
        <v>AH</v>
      </c>
      <c r="N324" s="89" t="str">
        <f aca="false">IFERROR(__xludf.dummyfunction("REGEXEXTRACT(ADDRESS(ROW(), 37+$H324), ""[A-Z]+"")"),"AK")</f>
        <v>AK</v>
      </c>
      <c r="O324" s="89" t="str">
        <f aca="false">IFERROR(__xludf.dummyfunction("REGEXEXTRACT(ADDRESS(ROW(), 38+$H324), ""[A-Z]+"")"),"AL")</f>
        <v>AL</v>
      </c>
      <c r="P324" s="89" t="str">
        <f aca="false">IFERROR(__xludf.dummyfunction("REGEXEXTRACT(ADDRESS(ROW(), 39+$H324), ""[A-Z]+"")"),"AM")</f>
        <v>AM</v>
      </c>
      <c r="Q324" s="89" t="str">
        <f aca="false">IFERROR(__xludf.dummyfunction("REGEXEXTRACT(ADDRESS(ROW(), 40+$H324), ""[A-Z]+"")"),"AN")</f>
        <v>AN</v>
      </c>
      <c r="R324" s="89" t="n">
        <f aca="false">IFERROR(__xludf.dummyfunction("IFERROR(QUERY(INDIRECT(""'""&amp;$F324&amp;""'!C3:""&amp;Q324&amp;""""), ""SELECT ""&amp;I324&amp;"", ""&amp;J324&amp;"", ""&amp;K324&amp;"", ""&amp;L324&amp;"", ""&amp;M324&amp;"", ""&amp;N324&amp;"", ""&amp;O324&amp;"", ""&amp;P324&amp;"" WHERE '""&amp;B324&amp;""' CONTAINS D"", 0), """")"),19)</f>
        <v>19</v>
      </c>
      <c r="S324" s="89" t="n">
        <f aca="false">IFERROR(__xludf.dummyfunction("""COMPUTED_VALUE"""),20)</f>
        <v>20</v>
      </c>
      <c r="T324" s="89"/>
      <c r="U324" s="89"/>
      <c r="V324" s="89" t="n">
        <f aca="false">IFERROR(__xludf.dummyfunction("""COMPUTED_VALUE"""),6)</f>
        <v>6</v>
      </c>
      <c r="W324" s="89"/>
      <c r="X324" s="89" t="n">
        <f aca="false">IFERROR(__xludf.dummyfunction("""COMPUTED_VALUE"""),40)</f>
        <v>40</v>
      </c>
      <c r="Y324" s="89" t="n">
        <f aca="false">IFERROR(__xludf.dummyfunction("""COMPUTED_VALUE"""),85)</f>
        <v>85</v>
      </c>
    </row>
    <row r="325" customFormat="false" ht="17.9" hidden="false" customHeight="false" outlineLevel="0" collapsed="false">
      <c r="A325" s="85" t="n">
        <v>324</v>
      </c>
      <c r="B325" s="85" t="n">
        <v>467550</v>
      </c>
      <c r="C325" s="86" t="s">
        <v>425</v>
      </c>
      <c r="D325" s="87" t="s">
        <v>151</v>
      </c>
      <c r="E325" s="88" t="str">
        <f aca="false">D325</f>
        <v>P3122</v>
      </c>
      <c r="F325" s="88" t="str">
        <f aca="false">REPLACE(E325, 1, 3, "")</f>
        <v>22</v>
      </c>
      <c r="G325" s="89" t="str">
        <f aca="true">IFERROR(VLOOKUP(B325,INDIRECT("'"&amp;$F325&amp;"'!D3:D"),1,FALSE()), "Not found")</f>
        <v>Not found</v>
      </c>
      <c r="H325" s="89" t="n">
        <f aca="true">INDIRECT("'"&amp;$F325&amp;"'!D1")</f>
        <v>0</v>
      </c>
      <c r="I325" s="89" t="str">
        <f aca="false">IFERROR(__xludf.dummyfunction("REGEXEXTRACT(ADDRESS(ROW(), 19+$H325), ""[A-Z]+"")"),"S")</f>
        <v>S</v>
      </c>
      <c r="J325" s="89" t="str">
        <f aca="false">IFERROR(__xludf.dummyfunction("REGEXEXTRACT(ADDRESS(ROW(), 25+$H325), ""[A-Z]+"")"),"Y")</f>
        <v>Y</v>
      </c>
      <c r="K325" s="89" t="str">
        <f aca="false">IFERROR(__xludf.dummyfunction("REGEXEXTRACT(ADDRESS(ROW(), 27+$H325), ""[A-Z]+"")"),"AA")</f>
        <v>AA</v>
      </c>
      <c r="L325" s="89" t="str">
        <f aca="false">IFERROR(__xludf.dummyfunction("REGEXEXTRACT(ADDRESS(ROW(), 28+$H325), ""[A-Z]+"")"),"AB")</f>
        <v>AB</v>
      </c>
      <c r="M325" s="89" t="str">
        <f aca="false">IFERROR(__xludf.dummyfunction("REGEXEXTRACT(ADDRESS(ROW(), 34+$H325), ""[A-Z]+"")"),"AH")</f>
        <v>AH</v>
      </c>
      <c r="N325" s="89" t="str">
        <f aca="false">IFERROR(__xludf.dummyfunction("REGEXEXTRACT(ADDRESS(ROW(), 37+$H325), ""[A-Z]+"")"),"AK")</f>
        <v>AK</v>
      </c>
      <c r="O325" s="89" t="str">
        <f aca="false">IFERROR(__xludf.dummyfunction("REGEXEXTRACT(ADDRESS(ROW(), 38+$H325), ""[A-Z]+"")"),"AL")</f>
        <v>AL</v>
      </c>
      <c r="P325" s="89" t="str">
        <f aca="false">IFERROR(__xludf.dummyfunction("REGEXEXTRACT(ADDRESS(ROW(), 39+$H325), ""[A-Z]+"")"),"AM")</f>
        <v>AM</v>
      </c>
      <c r="Q325" s="89" t="str">
        <f aca="false">IFERROR(__xludf.dummyfunction("REGEXEXTRACT(ADDRESS(ROW(), 40+$H325), ""[A-Z]+"")"),"AN")</f>
        <v>AN</v>
      </c>
      <c r="R325" s="89" t="n">
        <f aca="false">IFERROR(__xludf.dummyfunction("IFERROR(QUERY(INDIRECT(""'""&amp;$F325&amp;""'!C3:""&amp;Q325&amp;""""), ""SELECT ""&amp;I325&amp;"", ""&amp;J325&amp;"", ""&amp;K325&amp;"", ""&amp;L325&amp;"", ""&amp;M325&amp;"", ""&amp;N325&amp;"", ""&amp;O325&amp;"", ""&amp;P325&amp;"" WHERE '""&amp;B325&amp;""' CONTAINS D"", 0), """")"),19)</f>
        <v>19</v>
      </c>
      <c r="S325" s="89" t="n">
        <f aca="false">IFERROR(__xludf.dummyfunction("""COMPUTED_VALUE"""),19.5)</f>
        <v>19.5</v>
      </c>
      <c r="T325" s="89"/>
      <c r="U325" s="89"/>
      <c r="V325" s="89" t="n">
        <f aca="false">IFERROR(__xludf.dummyfunction("""COMPUTED_VALUE"""),6)</f>
        <v>6</v>
      </c>
      <c r="W325" s="89"/>
      <c r="X325" s="89" t="n">
        <f aca="false">IFERROR(__xludf.dummyfunction("""COMPUTED_VALUE"""),40)</f>
        <v>40</v>
      </c>
      <c r="Y325" s="89" t="n">
        <f aca="false">IFERROR(__xludf.dummyfunction("""COMPUTED_VALUE"""),84.5)</f>
        <v>84.5</v>
      </c>
    </row>
    <row r="326" customFormat="false" ht="17.9" hidden="false" customHeight="false" outlineLevel="0" collapsed="false">
      <c r="A326" s="85" t="n">
        <v>325</v>
      </c>
      <c r="B326" s="85" t="n">
        <v>409611</v>
      </c>
      <c r="C326" s="86" t="s">
        <v>426</v>
      </c>
      <c r="D326" s="87" t="s">
        <v>85</v>
      </c>
      <c r="E326" s="88" t="str">
        <f aca="false">D326</f>
        <v>P3132</v>
      </c>
      <c r="F326" s="88" t="str">
        <f aca="false">REPLACE(E326, 1, 3, "")</f>
        <v>32</v>
      </c>
      <c r="G326" s="89" t="str">
        <f aca="true">IFERROR(VLOOKUP(B326,INDIRECT("'"&amp;$F326&amp;"'!D3:D"),1,FALSE()), "Not found")</f>
        <v>Not found</v>
      </c>
      <c r="H326" s="89" t="n">
        <f aca="true">INDIRECT("'"&amp;$F326&amp;"'!D1")</f>
        <v>0</v>
      </c>
      <c r="I326" s="89" t="str">
        <f aca="false">IFERROR(__xludf.dummyfunction("REGEXEXTRACT(ADDRESS(ROW(), 19+$H326), ""[A-Z]+"")"),"S")</f>
        <v>S</v>
      </c>
      <c r="J326" s="89" t="str">
        <f aca="false">IFERROR(__xludf.dummyfunction("REGEXEXTRACT(ADDRESS(ROW(), 25+$H326), ""[A-Z]+"")"),"Y")</f>
        <v>Y</v>
      </c>
      <c r="K326" s="89" t="str">
        <f aca="false">IFERROR(__xludf.dummyfunction("REGEXEXTRACT(ADDRESS(ROW(), 27+$H326), ""[A-Z]+"")"),"AA")</f>
        <v>AA</v>
      </c>
      <c r="L326" s="89" t="str">
        <f aca="false">IFERROR(__xludf.dummyfunction("REGEXEXTRACT(ADDRESS(ROW(), 28+$H326), ""[A-Z]+"")"),"AB")</f>
        <v>AB</v>
      </c>
      <c r="M326" s="89" t="str">
        <f aca="false">IFERROR(__xludf.dummyfunction("REGEXEXTRACT(ADDRESS(ROW(), 34+$H326), ""[A-Z]+"")"),"AH")</f>
        <v>AH</v>
      </c>
      <c r="N326" s="89" t="str">
        <f aca="false">IFERROR(__xludf.dummyfunction("REGEXEXTRACT(ADDRESS(ROW(), 37+$H326), ""[A-Z]+"")"),"AK")</f>
        <v>AK</v>
      </c>
      <c r="O326" s="89" t="str">
        <f aca="false">IFERROR(__xludf.dummyfunction("REGEXEXTRACT(ADDRESS(ROW(), 38+$H326), ""[A-Z]+"")"),"AL")</f>
        <v>AL</v>
      </c>
      <c r="P326" s="89" t="str">
        <f aca="false">IFERROR(__xludf.dummyfunction("REGEXEXTRACT(ADDRESS(ROW(), 39+$H326), ""[A-Z]+"")"),"AM")</f>
        <v>AM</v>
      </c>
      <c r="Q326" s="89" t="str">
        <f aca="false">IFERROR(__xludf.dummyfunction("REGEXEXTRACT(ADDRESS(ROW(), 40+$H326), ""[A-Z]+"")"),"AN")</f>
        <v>AN</v>
      </c>
      <c r="R326" s="89" t="str">
        <f aca="false">IFERROR(__xludf.dummyfunction("IFERROR(QUERY(INDIRECT(""'""&amp;$F326&amp;""'!C3:""&amp;Q326&amp;""""), ""SELECT ""&amp;I326&amp;"", ""&amp;J326&amp;"", ""&amp;K326&amp;"", ""&amp;L326&amp;"", ""&amp;M326&amp;"", ""&amp;N326&amp;"", ""&amp;O326&amp;"", ""&amp;P326&amp;"" WHERE '""&amp;B326&amp;""' CONTAINS D"", 0), """")"),"")</f>
        <v/>
      </c>
      <c r="S326" s="89"/>
      <c r="T326" s="89"/>
      <c r="U326" s="89"/>
      <c r="V326" s="89" t="n">
        <f aca="false">IFERROR(__xludf.dummyfunction("""COMPUTED_VALUE"""),0)</f>
        <v>0</v>
      </c>
      <c r="W326" s="89"/>
      <c r="X326" s="89"/>
      <c r="Y326" s="89" t="n">
        <f aca="false">IFERROR(__xludf.dummyfunction("""COMPUTED_VALUE"""),0)</f>
        <v>0</v>
      </c>
    </row>
    <row r="327" customFormat="false" ht="17.9" hidden="false" customHeight="false" outlineLevel="0" collapsed="false">
      <c r="A327" s="85" t="n">
        <v>326</v>
      </c>
      <c r="B327" s="85" t="n">
        <v>467570</v>
      </c>
      <c r="C327" s="86" t="s">
        <v>427</v>
      </c>
      <c r="D327" s="87" t="s">
        <v>183</v>
      </c>
      <c r="E327" s="88" t="str">
        <f aca="false">D327</f>
        <v>P3107</v>
      </c>
      <c r="F327" s="88" t="str">
        <f aca="false">REPLACE(E327, 1, 3, "")</f>
        <v>07</v>
      </c>
      <c r="G327" s="89" t="str">
        <f aca="true">IFERROR(VLOOKUP(B327,INDIRECT("'"&amp;$F327&amp;"'!D3:D"),1,FALSE()), "Not found")</f>
        <v>Not found</v>
      </c>
      <c r="H327" s="89" t="n">
        <f aca="true">INDIRECT("'"&amp;$F327&amp;"'!D1")</f>
        <v>0</v>
      </c>
      <c r="I327" s="89" t="str">
        <f aca="false">IFERROR(__xludf.dummyfunction("REGEXEXTRACT(ADDRESS(ROW(), 19+$H327), ""[A-Z]+"")"),"S")</f>
        <v>S</v>
      </c>
      <c r="J327" s="89" t="str">
        <f aca="false">IFERROR(__xludf.dummyfunction("REGEXEXTRACT(ADDRESS(ROW(), 25+$H327), ""[A-Z]+"")"),"Y")</f>
        <v>Y</v>
      </c>
      <c r="K327" s="89" t="str">
        <f aca="false">IFERROR(__xludf.dummyfunction("REGEXEXTRACT(ADDRESS(ROW(), 27+$H327), ""[A-Z]+"")"),"AA")</f>
        <v>AA</v>
      </c>
      <c r="L327" s="89" t="str">
        <f aca="false">IFERROR(__xludf.dummyfunction("REGEXEXTRACT(ADDRESS(ROW(), 28+$H327), ""[A-Z]+"")"),"AB")</f>
        <v>AB</v>
      </c>
      <c r="M327" s="89" t="str">
        <f aca="false">IFERROR(__xludf.dummyfunction("REGEXEXTRACT(ADDRESS(ROW(), 34+$H327), ""[A-Z]+"")"),"AH")</f>
        <v>AH</v>
      </c>
      <c r="N327" s="89" t="str">
        <f aca="false">IFERROR(__xludf.dummyfunction("REGEXEXTRACT(ADDRESS(ROW(), 37+$H327), ""[A-Z]+"")"),"AK")</f>
        <v>AK</v>
      </c>
      <c r="O327" s="89" t="str">
        <f aca="false">IFERROR(__xludf.dummyfunction("REGEXEXTRACT(ADDRESS(ROW(), 38+$H327), ""[A-Z]+"")"),"AL")</f>
        <v>AL</v>
      </c>
      <c r="P327" s="89" t="str">
        <f aca="false">IFERROR(__xludf.dummyfunction("REGEXEXTRACT(ADDRESS(ROW(), 39+$H327), ""[A-Z]+"")"),"AM")</f>
        <v>AM</v>
      </c>
      <c r="Q327" s="89" t="str">
        <f aca="false">IFERROR(__xludf.dummyfunction("REGEXEXTRACT(ADDRESS(ROW(), 40+$H327), ""[A-Z]+"")"),"AN")</f>
        <v>AN</v>
      </c>
      <c r="R327" s="89" t="n">
        <f aca="false">IFERROR(__xludf.dummyfunction("IFERROR(QUERY(INDIRECT(""'""&amp;$F327&amp;""'!C3:""&amp;Q327&amp;""""), ""SELECT ""&amp;I327&amp;"", ""&amp;J327&amp;"", ""&amp;K327&amp;"", ""&amp;L327&amp;"", ""&amp;M327&amp;"", ""&amp;N327&amp;"", ""&amp;O327&amp;"", ""&amp;P327&amp;"" WHERE '""&amp;B327&amp;""' CONTAINS D"", 0), """")"),20)</f>
        <v>20</v>
      </c>
      <c r="S327" s="89" t="n">
        <f aca="false">IFERROR(__xludf.dummyfunction("""COMPUTED_VALUE"""),20)</f>
        <v>20</v>
      </c>
      <c r="T327" s="89"/>
      <c r="U327" s="89"/>
      <c r="V327" s="89" t="n">
        <f aca="false">IFERROR(__xludf.dummyfunction("""COMPUTED_VALUE"""),6)</f>
        <v>6</v>
      </c>
      <c r="W327" s="89"/>
      <c r="X327" s="89" t="n">
        <f aca="false">IFERROR(__xludf.dummyfunction("""COMPUTED_VALUE"""),40)</f>
        <v>40</v>
      </c>
      <c r="Y327" s="89" t="n">
        <f aca="false">IFERROR(__xludf.dummyfunction("""COMPUTED_VALUE"""),86)</f>
        <v>86</v>
      </c>
    </row>
    <row r="328" customFormat="false" ht="17.9" hidden="false" customHeight="false" outlineLevel="0" collapsed="false">
      <c r="A328" s="85" t="n">
        <v>327</v>
      </c>
      <c r="B328" s="85" t="n">
        <v>467579</v>
      </c>
      <c r="C328" s="86" t="s">
        <v>428</v>
      </c>
      <c r="D328" s="87" t="s">
        <v>146</v>
      </c>
      <c r="E328" s="88" t="str">
        <f aca="false">D328</f>
        <v>P3113</v>
      </c>
      <c r="F328" s="88" t="str">
        <f aca="false">REPLACE(E328, 1, 3, "")</f>
        <v>13</v>
      </c>
      <c r="G328" s="89" t="str">
        <f aca="true">IFERROR(VLOOKUP(B328,INDIRECT("'"&amp;$F328&amp;"'!D3:D"),1,FALSE()), "Not found")</f>
        <v>Not found</v>
      </c>
      <c r="H328" s="89" t="n">
        <f aca="true">INDIRECT("'"&amp;$F328&amp;"'!D1")</f>
        <v>0</v>
      </c>
      <c r="I328" s="89" t="str">
        <f aca="false">IFERROR(__xludf.dummyfunction("REGEXEXTRACT(ADDRESS(ROW(), 19+$H328), ""[A-Z]+"")"),"S")</f>
        <v>S</v>
      </c>
      <c r="J328" s="89" t="str">
        <f aca="false">IFERROR(__xludf.dummyfunction("REGEXEXTRACT(ADDRESS(ROW(), 25+$H328), ""[A-Z]+"")"),"Y")</f>
        <v>Y</v>
      </c>
      <c r="K328" s="89" t="str">
        <f aca="false">IFERROR(__xludf.dummyfunction("REGEXEXTRACT(ADDRESS(ROW(), 27+$H328), ""[A-Z]+"")"),"AA")</f>
        <v>AA</v>
      </c>
      <c r="L328" s="89" t="str">
        <f aca="false">IFERROR(__xludf.dummyfunction("REGEXEXTRACT(ADDRESS(ROW(), 28+$H328), ""[A-Z]+"")"),"AB")</f>
        <v>AB</v>
      </c>
      <c r="M328" s="89" t="str">
        <f aca="false">IFERROR(__xludf.dummyfunction("REGEXEXTRACT(ADDRESS(ROW(), 34+$H328), ""[A-Z]+"")"),"AH")</f>
        <v>AH</v>
      </c>
      <c r="N328" s="89" t="str">
        <f aca="false">IFERROR(__xludf.dummyfunction("REGEXEXTRACT(ADDRESS(ROW(), 37+$H328), ""[A-Z]+"")"),"AK")</f>
        <v>AK</v>
      </c>
      <c r="O328" s="89" t="str">
        <f aca="false">IFERROR(__xludf.dummyfunction("REGEXEXTRACT(ADDRESS(ROW(), 38+$H328), ""[A-Z]+"")"),"AL")</f>
        <v>AL</v>
      </c>
      <c r="P328" s="89" t="str">
        <f aca="false">IFERROR(__xludf.dummyfunction("REGEXEXTRACT(ADDRESS(ROW(), 39+$H328), ""[A-Z]+"")"),"AM")</f>
        <v>AM</v>
      </c>
      <c r="Q328" s="89" t="str">
        <f aca="false">IFERROR(__xludf.dummyfunction("REGEXEXTRACT(ADDRESS(ROW(), 40+$H328), ""[A-Z]+"")"),"AN")</f>
        <v>AN</v>
      </c>
      <c r="R328" s="89" t="n">
        <f aca="false">IFERROR(__xludf.dummyfunction("IFERROR(QUERY(INDIRECT(""'""&amp;$F328&amp;""'!C3:""&amp;Q328&amp;""""), ""SELECT ""&amp;I328&amp;"", ""&amp;J328&amp;"", ""&amp;K328&amp;"", ""&amp;L328&amp;"", ""&amp;M328&amp;"", ""&amp;N328&amp;"", ""&amp;O328&amp;"", ""&amp;P328&amp;"" WHERE '""&amp;B328&amp;""' CONTAINS D"", 0), """")"),18)</f>
        <v>18</v>
      </c>
      <c r="S328" s="89" t="n">
        <f aca="false">IFERROR(__xludf.dummyfunction("""COMPUTED_VALUE"""),18)</f>
        <v>18</v>
      </c>
      <c r="T328" s="89"/>
      <c r="U328" s="89"/>
      <c r="V328" s="89" t="n">
        <f aca="false">IFERROR(__xludf.dummyfunction("""COMPUTED_VALUE"""),9)</f>
        <v>9</v>
      </c>
      <c r="W328" s="89"/>
      <c r="X328" s="89" t="n">
        <f aca="false">IFERROR(__xludf.dummyfunction("""COMPUTED_VALUE"""),40)</f>
        <v>40</v>
      </c>
      <c r="Y328" s="89" t="n">
        <f aca="false">IFERROR(__xludf.dummyfunction("""COMPUTED_VALUE"""),85)</f>
        <v>85</v>
      </c>
    </row>
    <row r="329" customFormat="false" ht="17.9" hidden="false" customHeight="false" outlineLevel="0" collapsed="false">
      <c r="A329" s="85" t="n">
        <v>328</v>
      </c>
      <c r="B329" s="85" t="n">
        <v>467586</v>
      </c>
      <c r="C329" s="86" t="s">
        <v>429</v>
      </c>
      <c r="D329" s="87" t="s">
        <v>127</v>
      </c>
      <c r="E329" s="88" t="str">
        <f aca="false">D329</f>
        <v>P3131</v>
      </c>
      <c r="F329" s="88" t="str">
        <f aca="false">REPLACE(E329, 1, 3, "")</f>
        <v>31</v>
      </c>
      <c r="G329" s="89" t="str">
        <f aca="true">IFERROR(VLOOKUP(B329,INDIRECT("'"&amp;$F329&amp;"'!D3:D"),1,FALSE()), "Not found")</f>
        <v>Not found</v>
      </c>
      <c r="H329" s="89" t="n">
        <f aca="true">INDIRECT("'"&amp;$F329&amp;"'!D1")</f>
        <v>0</v>
      </c>
      <c r="I329" s="89" t="str">
        <f aca="false">IFERROR(__xludf.dummyfunction("REGEXEXTRACT(ADDRESS(ROW(), 19+$H329), ""[A-Z]+"")"),"S")</f>
        <v>S</v>
      </c>
      <c r="J329" s="89" t="str">
        <f aca="false">IFERROR(__xludf.dummyfunction("REGEXEXTRACT(ADDRESS(ROW(), 25+$H329), ""[A-Z]+"")"),"Y")</f>
        <v>Y</v>
      </c>
      <c r="K329" s="89" t="str">
        <f aca="false">IFERROR(__xludf.dummyfunction("REGEXEXTRACT(ADDRESS(ROW(), 27+$H329), ""[A-Z]+"")"),"AA")</f>
        <v>AA</v>
      </c>
      <c r="L329" s="89" t="str">
        <f aca="false">IFERROR(__xludf.dummyfunction("REGEXEXTRACT(ADDRESS(ROW(), 28+$H329), ""[A-Z]+"")"),"AB")</f>
        <v>AB</v>
      </c>
      <c r="M329" s="89" t="str">
        <f aca="false">IFERROR(__xludf.dummyfunction("REGEXEXTRACT(ADDRESS(ROW(), 34+$H329), ""[A-Z]+"")"),"AH")</f>
        <v>AH</v>
      </c>
      <c r="N329" s="89" t="str">
        <f aca="false">IFERROR(__xludf.dummyfunction("REGEXEXTRACT(ADDRESS(ROW(), 37+$H329), ""[A-Z]+"")"),"AK")</f>
        <v>AK</v>
      </c>
      <c r="O329" s="89" t="str">
        <f aca="false">IFERROR(__xludf.dummyfunction("REGEXEXTRACT(ADDRESS(ROW(), 38+$H329), ""[A-Z]+"")"),"AL")</f>
        <v>AL</v>
      </c>
      <c r="P329" s="89" t="str">
        <f aca="false">IFERROR(__xludf.dummyfunction("REGEXEXTRACT(ADDRESS(ROW(), 39+$H329), ""[A-Z]+"")"),"AM")</f>
        <v>AM</v>
      </c>
      <c r="Q329" s="89" t="str">
        <f aca="false">IFERROR(__xludf.dummyfunction("REGEXEXTRACT(ADDRESS(ROW(), 40+$H329), ""[A-Z]+"")"),"AN")</f>
        <v>AN</v>
      </c>
      <c r="R329" s="89" t="n">
        <f aca="false">IFERROR(__xludf.dummyfunction("IFERROR(QUERY(INDIRECT(""'""&amp;$F329&amp;""'!C3:""&amp;Q329&amp;""""), ""SELECT ""&amp;I329&amp;"", ""&amp;J329&amp;"", ""&amp;K329&amp;"", ""&amp;L329&amp;"", ""&amp;M329&amp;"", ""&amp;N329&amp;"", ""&amp;O329&amp;"", ""&amp;P329&amp;"" WHERE '""&amp;B329&amp;""' CONTAINS D"", 0), """")"),19)</f>
        <v>19</v>
      </c>
      <c r="S329" s="89" t="n">
        <f aca="false">IFERROR(__xludf.dummyfunction("""COMPUTED_VALUE"""),20)</f>
        <v>20</v>
      </c>
      <c r="T329" s="89"/>
      <c r="U329" s="89"/>
      <c r="V329" s="89" t="n">
        <f aca="false">IFERROR(__xludf.dummyfunction("""COMPUTED_VALUE"""),8.5)</f>
        <v>8.5</v>
      </c>
      <c r="W329" s="89"/>
      <c r="X329" s="89" t="n">
        <f aca="false">IFERROR(__xludf.dummyfunction("""COMPUTED_VALUE"""),40)</f>
        <v>40</v>
      </c>
      <c r="Y329" s="89" t="n">
        <f aca="false">IFERROR(__xludf.dummyfunction("""COMPUTED_VALUE"""),87.5)</f>
        <v>87.5</v>
      </c>
    </row>
    <row r="330" customFormat="false" ht="17.9" hidden="false" customHeight="false" outlineLevel="0" collapsed="false">
      <c r="A330" s="85" t="n">
        <v>329</v>
      </c>
      <c r="B330" s="85" t="n">
        <v>467593</v>
      </c>
      <c r="C330" s="86" t="s">
        <v>430</v>
      </c>
      <c r="D330" s="87" t="s">
        <v>125</v>
      </c>
      <c r="E330" s="88" t="str">
        <f aca="false">D330</f>
        <v>P3115</v>
      </c>
      <c r="F330" s="88" t="str">
        <f aca="false">REPLACE(E330, 1, 3, "")</f>
        <v>15</v>
      </c>
      <c r="G330" s="89" t="str">
        <f aca="true">IFERROR(VLOOKUP(B330,INDIRECT("'"&amp;$F330&amp;"'!D3:D"),1,FALSE()), "Not found")</f>
        <v>Not found</v>
      </c>
      <c r="H330" s="89" t="n">
        <f aca="true">INDIRECT("'"&amp;$F330&amp;"'!D1")</f>
        <v>1</v>
      </c>
      <c r="I330" s="89" t="str">
        <f aca="false">IFERROR(__xludf.dummyfunction("REGEXEXTRACT(ADDRESS(ROW(), 19+$H330), ""[A-Z]+"")"),"T")</f>
        <v>T</v>
      </c>
      <c r="J330" s="89" t="str">
        <f aca="false">IFERROR(__xludf.dummyfunction("REGEXEXTRACT(ADDRESS(ROW(), 25+$H330), ""[A-Z]+"")"),"Z")</f>
        <v>Z</v>
      </c>
      <c r="K330" s="89" t="str">
        <f aca="false">IFERROR(__xludf.dummyfunction("REGEXEXTRACT(ADDRESS(ROW(), 27+$H330), ""[A-Z]+"")"),"AB")</f>
        <v>AB</v>
      </c>
      <c r="L330" s="89" t="str">
        <f aca="false">IFERROR(__xludf.dummyfunction("REGEXEXTRACT(ADDRESS(ROW(), 28+$H330), ""[A-Z]+"")"),"AC")</f>
        <v>AC</v>
      </c>
      <c r="M330" s="89" t="str">
        <f aca="false">IFERROR(__xludf.dummyfunction("REGEXEXTRACT(ADDRESS(ROW(), 34+$H330), ""[A-Z]+"")"),"AI")</f>
        <v>AI</v>
      </c>
      <c r="N330" s="89" t="str">
        <f aca="false">IFERROR(__xludf.dummyfunction("REGEXEXTRACT(ADDRESS(ROW(), 37+$H330), ""[A-Z]+"")"),"AL")</f>
        <v>AL</v>
      </c>
      <c r="O330" s="89" t="str">
        <f aca="false">IFERROR(__xludf.dummyfunction("REGEXEXTRACT(ADDRESS(ROW(), 38+$H330), ""[A-Z]+"")"),"AM")</f>
        <v>AM</v>
      </c>
      <c r="P330" s="89" t="str">
        <f aca="false">IFERROR(__xludf.dummyfunction("REGEXEXTRACT(ADDRESS(ROW(), 39+$H330), ""[A-Z]+"")"),"AN")</f>
        <v>AN</v>
      </c>
      <c r="Q330" s="89" t="str">
        <f aca="false">IFERROR(__xludf.dummyfunction("REGEXEXTRACT(ADDRESS(ROW(), 40+$H330), ""[A-Z]+"")"),"AO")</f>
        <v>AO</v>
      </c>
      <c r="R330" s="89" t="n">
        <f aca="false">IFERROR(__xludf.dummyfunction("IFERROR(QUERY(INDIRECT(""'""&amp;$F330&amp;""'!C3:""&amp;Q330&amp;""""), ""SELECT ""&amp;I330&amp;"", ""&amp;J330&amp;"", ""&amp;K330&amp;"", ""&amp;L330&amp;"", ""&amp;M330&amp;"", ""&amp;N330&amp;"", ""&amp;O330&amp;"", ""&amp;P330&amp;"" WHERE '""&amp;B330&amp;""' CONTAINS D"", 0), """")"),18)</f>
        <v>18</v>
      </c>
      <c r="S330" s="89" t="n">
        <f aca="false">IFERROR(__xludf.dummyfunction("""COMPUTED_VALUE"""),18.5)</f>
        <v>18.5</v>
      </c>
      <c r="T330" s="89"/>
      <c r="U330" s="89"/>
      <c r="V330" s="89" t="n">
        <f aca="false">IFERROR(__xludf.dummyfunction("""COMPUTED_VALUE"""),9.5)</f>
        <v>9.5</v>
      </c>
      <c r="W330" s="89"/>
      <c r="X330" s="89" t="n">
        <f aca="false">IFERROR(__xludf.dummyfunction("""COMPUTED_VALUE"""),40)</f>
        <v>40</v>
      </c>
      <c r="Y330" s="89" t="n">
        <f aca="false">IFERROR(__xludf.dummyfunction("""COMPUTED_VALUE"""),86)</f>
        <v>86</v>
      </c>
    </row>
    <row r="331" customFormat="false" ht="17.9" hidden="false" customHeight="false" outlineLevel="0" collapsed="false">
      <c r="A331" s="85" t="n">
        <v>330</v>
      </c>
      <c r="B331" s="85" t="n">
        <v>463225</v>
      </c>
      <c r="C331" s="86" t="s">
        <v>431</v>
      </c>
      <c r="D331" s="87" t="s">
        <v>87</v>
      </c>
      <c r="E331" s="88" t="str">
        <f aca="false">D331</f>
        <v>P3130</v>
      </c>
      <c r="F331" s="88" t="str">
        <f aca="false">REPLACE(E331, 1, 3, "")</f>
        <v>30</v>
      </c>
      <c r="G331" s="89" t="str">
        <f aca="true">IFERROR(VLOOKUP(B331,INDIRECT("'"&amp;$F331&amp;"'!D3:D"),1,FALSE()), "Not found")</f>
        <v>Not found</v>
      </c>
      <c r="H331" s="89" t="n">
        <f aca="true">INDIRECT("'"&amp;$F331&amp;"'!D1")</f>
        <v>0</v>
      </c>
      <c r="I331" s="89" t="str">
        <f aca="false">IFERROR(__xludf.dummyfunction("REGEXEXTRACT(ADDRESS(ROW(), 19+$H331), ""[A-Z]+"")"),"S")</f>
        <v>S</v>
      </c>
      <c r="J331" s="89" t="str">
        <f aca="false">IFERROR(__xludf.dummyfunction("REGEXEXTRACT(ADDRESS(ROW(), 25+$H331), ""[A-Z]+"")"),"Y")</f>
        <v>Y</v>
      </c>
      <c r="K331" s="89" t="str">
        <f aca="false">IFERROR(__xludf.dummyfunction("REGEXEXTRACT(ADDRESS(ROW(), 27+$H331), ""[A-Z]+"")"),"AA")</f>
        <v>AA</v>
      </c>
      <c r="L331" s="89" t="str">
        <f aca="false">IFERROR(__xludf.dummyfunction("REGEXEXTRACT(ADDRESS(ROW(), 28+$H331), ""[A-Z]+"")"),"AB")</f>
        <v>AB</v>
      </c>
      <c r="M331" s="89" t="str">
        <f aca="false">IFERROR(__xludf.dummyfunction("REGEXEXTRACT(ADDRESS(ROW(), 34+$H331), ""[A-Z]+"")"),"AH")</f>
        <v>AH</v>
      </c>
      <c r="N331" s="89" t="str">
        <f aca="false">IFERROR(__xludf.dummyfunction("REGEXEXTRACT(ADDRESS(ROW(), 37+$H331), ""[A-Z]+"")"),"AK")</f>
        <v>AK</v>
      </c>
      <c r="O331" s="89" t="str">
        <f aca="false">IFERROR(__xludf.dummyfunction("REGEXEXTRACT(ADDRESS(ROW(), 38+$H331), ""[A-Z]+"")"),"AL")</f>
        <v>AL</v>
      </c>
      <c r="P331" s="89" t="str">
        <f aca="false">IFERROR(__xludf.dummyfunction("REGEXEXTRACT(ADDRESS(ROW(), 39+$H331), ""[A-Z]+"")"),"AM")</f>
        <v>AM</v>
      </c>
      <c r="Q331" s="89" t="str">
        <f aca="false">IFERROR(__xludf.dummyfunction("REGEXEXTRACT(ADDRESS(ROW(), 40+$H331), ""[A-Z]+"")"),"AN")</f>
        <v>AN</v>
      </c>
      <c r="R331" s="89" t="n">
        <f aca="false">IFERROR(__xludf.dummyfunction("IFERROR(QUERY(INDIRECT(""'""&amp;$F331&amp;""'!C3:""&amp;Q331&amp;""""), ""SELECT ""&amp;I331&amp;"", ""&amp;J331&amp;"", ""&amp;K331&amp;"", ""&amp;L331&amp;"", ""&amp;M331&amp;"", ""&amp;N331&amp;"", ""&amp;O331&amp;"", ""&amp;P331&amp;"" WHERE '""&amp;B331&amp;""' CONTAINS D"", 0), """")"),17.5)</f>
        <v>17.5</v>
      </c>
      <c r="S331" s="89" t="n">
        <f aca="false">IFERROR(__xludf.dummyfunction("""COMPUTED_VALUE"""),15)</f>
        <v>15</v>
      </c>
      <c r="T331" s="89"/>
      <c r="U331" s="89"/>
      <c r="V331" s="89" t="n">
        <f aca="false">IFERROR(__xludf.dummyfunction("""COMPUTED_VALUE"""),6)</f>
        <v>6</v>
      </c>
      <c r="W331" s="89"/>
      <c r="X331" s="89" t="n">
        <f aca="false">IFERROR(__xludf.dummyfunction("""COMPUTED_VALUE"""),40)</f>
        <v>40</v>
      </c>
      <c r="Y331" s="89" t="n">
        <f aca="false">IFERROR(__xludf.dummyfunction("""COMPUTED_VALUE"""),78.5)</f>
        <v>78.5</v>
      </c>
    </row>
    <row r="332" customFormat="false" ht="17.9" hidden="false" customHeight="false" outlineLevel="0" collapsed="false">
      <c r="A332" s="85" t="n">
        <v>331</v>
      </c>
      <c r="B332" s="85" t="n">
        <v>467604</v>
      </c>
      <c r="C332" s="86" t="s">
        <v>432</v>
      </c>
      <c r="D332" s="87" t="s">
        <v>117</v>
      </c>
      <c r="E332" s="88" t="str">
        <f aca="false">D332</f>
        <v>P3116</v>
      </c>
      <c r="F332" s="88" t="str">
        <f aca="false">REPLACE(E332, 1, 3, "")</f>
        <v>16</v>
      </c>
      <c r="G332" s="89" t="str">
        <f aca="true">IFERROR(VLOOKUP(B332,INDIRECT("'"&amp;$F332&amp;"'!D3:D"),1,FALSE()), "Not found")</f>
        <v>Not found</v>
      </c>
      <c r="H332" s="89" t="n">
        <f aca="true">INDIRECT("'"&amp;$F332&amp;"'!D1")</f>
        <v>0</v>
      </c>
      <c r="I332" s="89" t="str">
        <f aca="false">IFERROR(__xludf.dummyfunction("REGEXEXTRACT(ADDRESS(ROW(), 19+$H332), ""[A-Z]+"")"),"S")</f>
        <v>S</v>
      </c>
      <c r="J332" s="89" t="str">
        <f aca="false">IFERROR(__xludf.dummyfunction("REGEXEXTRACT(ADDRESS(ROW(), 25+$H332), ""[A-Z]+"")"),"Y")</f>
        <v>Y</v>
      </c>
      <c r="K332" s="89" t="str">
        <f aca="false">IFERROR(__xludf.dummyfunction("REGEXEXTRACT(ADDRESS(ROW(), 27+$H332), ""[A-Z]+"")"),"AA")</f>
        <v>AA</v>
      </c>
      <c r="L332" s="89" t="str">
        <f aca="false">IFERROR(__xludf.dummyfunction("REGEXEXTRACT(ADDRESS(ROW(), 28+$H332), ""[A-Z]+"")"),"AB")</f>
        <v>AB</v>
      </c>
      <c r="M332" s="89" t="str">
        <f aca="false">IFERROR(__xludf.dummyfunction("REGEXEXTRACT(ADDRESS(ROW(), 34+$H332), ""[A-Z]+"")"),"AH")</f>
        <v>AH</v>
      </c>
      <c r="N332" s="89" t="str">
        <f aca="false">IFERROR(__xludf.dummyfunction("REGEXEXTRACT(ADDRESS(ROW(), 37+$H332), ""[A-Z]+"")"),"AK")</f>
        <v>AK</v>
      </c>
      <c r="O332" s="89" t="str">
        <f aca="false">IFERROR(__xludf.dummyfunction("REGEXEXTRACT(ADDRESS(ROW(), 38+$H332), ""[A-Z]+"")"),"AL")</f>
        <v>AL</v>
      </c>
      <c r="P332" s="89" t="str">
        <f aca="false">IFERROR(__xludf.dummyfunction("REGEXEXTRACT(ADDRESS(ROW(), 39+$H332), ""[A-Z]+"")"),"AM")</f>
        <v>AM</v>
      </c>
      <c r="Q332" s="89" t="str">
        <f aca="false">IFERROR(__xludf.dummyfunction("REGEXEXTRACT(ADDRESS(ROW(), 40+$H332), ""[A-Z]+"")"),"AN")</f>
        <v>AN</v>
      </c>
      <c r="R332" s="89" t="n">
        <f aca="false">IFERROR(__xludf.dummyfunction("IFERROR(QUERY(INDIRECT(""'""&amp;$F332&amp;""'!C3:""&amp;Q332&amp;""""), ""SELECT ""&amp;I332&amp;"", ""&amp;J332&amp;"", ""&amp;K332&amp;"", ""&amp;L332&amp;"", ""&amp;M332&amp;"", ""&amp;N332&amp;"", ""&amp;O332&amp;"", ""&amp;P332&amp;"" WHERE '""&amp;B332&amp;""' CONTAINS D"", 0), """")"),19)</f>
        <v>19</v>
      </c>
      <c r="S332" s="89" t="n">
        <f aca="false">IFERROR(__xludf.dummyfunction("""COMPUTED_VALUE"""),18)</f>
        <v>18</v>
      </c>
      <c r="T332" s="89"/>
      <c r="U332" s="89"/>
      <c r="V332" s="89" t="n">
        <f aca="false">IFERROR(__xludf.dummyfunction("""COMPUTED_VALUE"""),9)</f>
        <v>9</v>
      </c>
      <c r="W332" s="89"/>
      <c r="X332" s="89" t="n">
        <f aca="false">IFERROR(__xludf.dummyfunction("""COMPUTED_VALUE"""),30)</f>
        <v>30</v>
      </c>
      <c r="Y332" s="89" t="n">
        <f aca="false">IFERROR(__xludf.dummyfunction("""COMPUTED_VALUE"""),76)</f>
        <v>76</v>
      </c>
    </row>
    <row r="333" customFormat="false" ht="17.9" hidden="false" customHeight="false" outlineLevel="0" collapsed="false">
      <c r="A333" s="85" t="n">
        <v>332</v>
      </c>
      <c r="B333" s="85" t="n">
        <v>467610</v>
      </c>
      <c r="C333" s="86" t="s">
        <v>433</v>
      </c>
      <c r="D333" s="87" t="s">
        <v>87</v>
      </c>
      <c r="E333" s="88" t="str">
        <f aca="false">D333</f>
        <v>P3130</v>
      </c>
      <c r="F333" s="88" t="str">
        <f aca="false">REPLACE(E333, 1, 3, "")</f>
        <v>30</v>
      </c>
      <c r="G333" s="89" t="str">
        <f aca="true">IFERROR(VLOOKUP(B333,INDIRECT("'"&amp;$F333&amp;"'!D3:D"),1,FALSE()), "Not found")</f>
        <v>Not found</v>
      </c>
      <c r="H333" s="89" t="n">
        <f aca="true">INDIRECT("'"&amp;$F333&amp;"'!D1")</f>
        <v>0</v>
      </c>
      <c r="I333" s="89" t="str">
        <f aca="false">IFERROR(__xludf.dummyfunction("REGEXEXTRACT(ADDRESS(ROW(), 19+$H333), ""[A-Z]+"")"),"S")</f>
        <v>S</v>
      </c>
      <c r="J333" s="89" t="str">
        <f aca="false">IFERROR(__xludf.dummyfunction("REGEXEXTRACT(ADDRESS(ROW(), 25+$H333), ""[A-Z]+"")"),"Y")</f>
        <v>Y</v>
      </c>
      <c r="K333" s="89" t="str">
        <f aca="false">IFERROR(__xludf.dummyfunction("REGEXEXTRACT(ADDRESS(ROW(), 27+$H333), ""[A-Z]+"")"),"AA")</f>
        <v>AA</v>
      </c>
      <c r="L333" s="89" t="str">
        <f aca="false">IFERROR(__xludf.dummyfunction("REGEXEXTRACT(ADDRESS(ROW(), 28+$H333), ""[A-Z]+"")"),"AB")</f>
        <v>AB</v>
      </c>
      <c r="M333" s="89" t="str">
        <f aca="false">IFERROR(__xludf.dummyfunction("REGEXEXTRACT(ADDRESS(ROW(), 34+$H333), ""[A-Z]+"")"),"AH")</f>
        <v>AH</v>
      </c>
      <c r="N333" s="89" t="str">
        <f aca="false">IFERROR(__xludf.dummyfunction("REGEXEXTRACT(ADDRESS(ROW(), 37+$H333), ""[A-Z]+"")"),"AK")</f>
        <v>AK</v>
      </c>
      <c r="O333" s="89" t="str">
        <f aca="false">IFERROR(__xludf.dummyfunction("REGEXEXTRACT(ADDRESS(ROW(), 38+$H333), ""[A-Z]+"")"),"AL")</f>
        <v>AL</v>
      </c>
      <c r="P333" s="89" t="str">
        <f aca="false">IFERROR(__xludf.dummyfunction("REGEXEXTRACT(ADDRESS(ROW(), 39+$H333), ""[A-Z]+"")"),"AM")</f>
        <v>AM</v>
      </c>
      <c r="Q333" s="89" t="str">
        <f aca="false">IFERROR(__xludf.dummyfunction("REGEXEXTRACT(ADDRESS(ROW(), 40+$H333), ""[A-Z]+"")"),"AN")</f>
        <v>AN</v>
      </c>
      <c r="R333" s="89" t="n">
        <f aca="false">IFERROR(__xludf.dummyfunction("IFERROR(QUERY(INDIRECT(""'""&amp;$F333&amp;""'!C3:""&amp;Q333&amp;""""), ""SELECT ""&amp;I333&amp;"", ""&amp;J333&amp;"", ""&amp;K333&amp;"", ""&amp;L333&amp;"", ""&amp;M333&amp;"", ""&amp;N333&amp;"", ""&amp;O333&amp;"", ""&amp;P333&amp;"" WHERE '""&amp;B333&amp;""' CONTAINS D"", 0), """")"),18)</f>
        <v>18</v>
      </c>
      <c r="S333" s="89" t="n">
        <f aca="false">IFERROR(__xludf.dummyfunction("""COMPUTED_VALUE"""),19)</f>
        <v>19</v>
      </c>
      <c r="T333" s="89"/>
      <c r="U333" s="89"/>
      <c r="V333" s="89" t="n">
        <f aca="false">IFERROR(__xludf.dummyfunction("""COMPUTED_VALUE"""),9)</f>
        <v>9</v>
      </c>
      <c r="W333" s="89"/>
      <c r="X333" s="89" t="n">
        <f aca="false">IFERROR(__xludf.dummyfunction("""COMPUTED_VALUE"""),40)</f>
        <v>40</v>
      </c>
      <c r="Y333" s="89" t="n">
        <f aca="false">IFERROR(__xludf.dummyfunction("""COMPUTED_VALUE"""),86)</f>
        <v>86</v>
      </c>
    </row>
    <row r="334" customFormat="false" ht="17.9" hidden="false" customHeight="false" outlineLevel="0" collapsed="false">
      <c r="A334" s="85" t="n">
        <v>333</v>
      </c>
      <c r="B334" s="85" t="n">
        <v>407956</v>
      </c>
      <c r="C334" s="86" t="s">
        <v>434</v>
      </c>
      <c r="D334" s="87" t="s">
        <v>81</v>
      </c>
      <c r="E334" s="88" t="str">
        <f aca="false">D334</f>
        <v>P3108</v>
      </c>
      <c r="F334" s="88" t="str">
        <f aca="false">REPLACE(E334, 1, 3, "")</f>
        <v>08</v>
      </c>
      <c r="G334" s="89" t="str">
        <f aca="true">IFERROR(VLOOKUP(B334,INDIRECT("'"&amp;$F334&amp;"'!D3:D"),1,FALSE()), "Not found")</f>
        <v>Not found</v>
      </c>
      <c r="H334" s="89" t="n">
        <f aca="true">INDIRECT("'"&amp;$F334&amp;"'!D1")</f>
        <v>0</v>
      </c>
      <c r="I334" s="89" t="str">
        <f aca="false">IFERROR(__xludf.dummyfunction("REGEXEXTRACT(ADDRESS(ROW(), 19+$H334), ""[A-Z]+"")"),"S")</f>
        <v>S</v>
      </c>
      <c r="J334" s="89" t="str">
        <f aca="false">IFERROR(__xludf.dummyfunction("REGEXEXTRACT(ADDRESS(ROW(), 25+$H334), ""[A-Z]+"")"),"Y")</f>
        <v>Y</v>
      </c>
      <c r="K334" s="89" t="str">
        <f aca="false">IFERROR(__xludf.dummyfunction("REGEXEXTRACT(ADDRESS(ROW(), 27+$H334), ""[A-Z]+"")"),"AA")</f>
        <v>AA</v>
      </c>
      <c r="L334" s="89" t="str">
        <f aca="false">IFERROR(__xludf.dummyfunction("REGEXEXTRACT(ADDRESS(ROW(), 28+$H334), ""[A-Z]+"")"),"AB")</f>
        <v>AB</v>
      </c>
      <c r="M334" s="89" t="str">
        <f aca="false">IFERROR(__xludf.dummyfunction("REGEXEXTRACT(ADDRESS(ROW(), 34+$H334), ""[A-Z]+"")"),"AH")</f>
        <v>AH</v>
      </c>
      <c r="N334" s="89" t="str">
        <f aca="false">IFERROR(__xludf.dummyfunction("REGEXEXTRACT(ADDRESS(ROW(), 37+$H334), ""[A-Z]+"")"),"AK")</f>
        <v>AK</v>
      </c>
      <c r="O334" s="89" t="str">
        <f aca="false">IFERROR(__xludf.dummyfunction("REGEXEXTRACT(ADDRESS(ROW(), 38+$H334), ""[A-Z]+"")"),"AL")</f>
        <v>AL</v>
      </c>
      <c r="P334" s="89" t="str">
        <f aca="false">IFERROR(__xludf.dummyfunction("REGEXEXTRACT(ADDRESS(ROW(), 39+$H334), ""[A-Z]+"")"),"AM")</f>
        <v>AM</v>
      </c>
      <c r="Q334" s="89" t="str">
        <f aca="false">IFERROR(__xludf.dummyfunction("REGEXEXTRACT(ADDRESS(ROW(), 40+$H334), ""[A-Z]+"")"),"AN")</f>
        <v>AN</v>
      </c>
      <c r="R334" s="89" t="n">
        <f aca="false">IFERROR(__xludf.dummyfunction("IFERROR(QUERY(INDIRECT(""'""&amp;$F334&amp;""'!C3:""&amp;Q334&amp;""""), ""SELECT ""&amp;I334&amp;"", ""&amp;J334&amp;"", ""&amp;K334&amp;"", ""&amp;L334&amp;"", ""&amp;M334&amp;"", ""&amp;N334&amp;"", ""&amp;O334&amp;"", ""&amp;P334&amp;"" WHERE '""&amp;B334&amp;""' CONTAINS D"", 0), """")"),15)</f>
        <v>15</v>
      </c>
      <c r="S334" s="89" t="n">
        <f aca="false">IFERROR(__xludf.dummyfunction("""COMPUTED_VALUE"""),18)</f>
        <v>18</v>
      </c>
      <c r="T334" s="89"/>
      <c r="U334" s="89"/>
      <c r="V334" s="89" t="n">
        <f aca="false">IFERROR(__xludf.dummyfunction("""COMPUTED_VALUE"""),6)</f>
        <v>6</v>
      </c>
      <c r="W334" s="89"/>
      <c r="X334" s="89" t="n">
        <f aca="false">IFERROR(__xludf.dummyfunction("""COMPUTED_VALUE"""),40)</f>
        <v>40</v>
      </c>
      <c r="Y334" s="89" t="n">
        <f aca="false">IFERROR(__xludf.dummyfunction("""COMPUTED_VALUE"""),79)</f>
        <v>79</v>
      </c>
    </row>
    <row r="335" customFormat="false" ht="17.9" hidden="false" customHeight="false" outlineLevel="0" collapsed="false">
      <c r="A335" s="85" t="n">
        <v>334</v>
      </c>
      <c r="B335" s="85" t="n">
        <v>467618</v>
      </c>
      <c r="C335" s="86" t="s">
        <v>435</v>
      </c>
      <c r="D335" s="87" t="s">
        <v>121</v>
      </c>
      <c r="E335" s="88" t="str">
        <f aca="false">D335</f>
        <v>P3120</v>
      </c>
      <c r="F335" s="88" t="str">
        <f aca="false">REPLACE(E335, 1, 3, "")</f>
        <v>20</v>
      </c>
      <c r="G335" s="89" t="str">
        <f aca="true">IFERROR(VLOOKUP(B335,INDIRECT("'"&amp;$F335&amp;"'!D3:D"),1,FALSE()), "Not found")</f>
        <v>Not found</v>
      </c>
      <c r="H335" s="89" t="n">
        <f aca="true">INDIRECT("'"&amp;$F335&amp;"'!D1")</f>
        <v>5</v>
      </c>
      <c r="I335" s="89" t="str">
        <f aca="false">IFERROR(__xludf.dummyfunction("REGEXEXTRACT(ADDRESS(ROW(), 19+$H335), ""[A-Z]+"")"),"X")</f>
        <v>X</v>
      </c>
      <c r="J335" s="89" t="str">
        <f aca="false">IFERROR(__xludf.dummyfunction("REGEXEXTRACT(ADDRESS(ROW(), 25+$H335), ""[A-Z]+"")"),"AD")</f>
        <v>AD</v>
      </c>
      <c r="K335" s="89" t="str">
        <f aca="false">IFERROR(__xludf.dummyfunction("REGEXEXTRACT(ADDRESS(ROW(), 27+$H335), ""[A-Z]+"")"),"AF")</f>
        <v>AF</v>
      </c>
      <c r="L335" s="89" t="str">
        <f aca="false">IFERROR(__xludf.dummyfunction("REGEXEXTRACT(ADDRESS(ROW(), 28+$H335), ""[A-Z]+"")"),"AG")</f>
        <v>AG</v>
      </c>
      <c r="M335" s="89" t="str">
        <f aca="false">IFERROR(__xludf.dummyfunction("REGEXEXTRACT(ADDRESS(ROW(), 34+$H335), ""[A-Z]+"")"),"AM")</f>
        <v>AM</v>
      </c>
      <c r="N335" s="89" t="str">
        <f aca="false">IFERROR(__xludf.dummyfunction("REGEXEXTRACT(ADDRESS(ROW(), 37+$H335), ""[A-Z]+"")"),"AP")</f>
        <v>AP</v>
      </c>
      <c r="O335" s="89" t="str">
        <f aca="false">IFERROR(__xludf.dummyfunction("REGEXEXTRACT(ADDRESS(ROW(), 38+$H335), ""[A-Z]+"")"),"AQ")</f>
        <v>AQ</v>
      </c>
      <c r="P335" s="89" t="str">
        <f aca="false">IFERROR(__xludf.dummyfunction("REGEXEXTRACT(ADDRESS(ROW(), 39+$H335), ""[A-Z]+"")"),"AR")</f>
        <v>AR</v>
      </c>
      <c r="Q335" s="89" t="str">
        <f aca="false">IFERROR(__xludf.dummyfunction("REGEXEXTRACT(ADDRESS(ROW(), 40+$H335), ""[A-Z]+"")"),"AS")</f>
        <v>AS</v>
      </c>
      <c r="R335" s="89" t="n">
        <f aca="false">IFERROR(__xludf.dummyfunction("IFERROR(QUERY(INDIRECT(""'""&amp;$F335&amp;""'!C3:""&amp;Q335&amp;""""), ""SELECT ""&amp;I335&amp;"", ""&amp;J335&amp;"", ""&amp;K335&amp;"", ""&amp;L335&amp;"", ""&amp;M335&amp;"", ""&amp;N335&amp;"", ""&amp;O335&amp;"", ""&amp;P335&amp;"" WHERE '""&amp;B335&amp;""' CONTAINS D"", 0), """")"),16)</f>
        <v>16</v>
      </c>
      <c r="S335" s="89" t="n">
        <f aca="false">IFERROR(__xludf.dummyfunction("""COMPUTED_VALUE"""),19)</f>
        <v>19</v>
      </c>
      <c r="T335" s="89"/>
      <c r="U335" s="89"/>
      <c r="V335" s="89" t="n">
        <f aca="false">IFERROR(__xludf.dummyfunction("""COMPUTED_VALUE"""),6)</f>
        <v>6</v>
      </c>
      <c r="W335" s="89"/>
      <c r="X335" s="89" t="n">
        <f aca="false">IFERROR(__xludf.dummyfunction("""COMPUTED_VALUE"""),40)</f>
        <v>40</v>
      </c>
      <c r="Y335" s="89" t="n">
        <f aca="false">IFERROR(__xludf.dummyfunction("""COMPUTED_VALUE"""),81)</f>
        <v>81</v>
      </c>
    </row>
    <row r="336" customFormat="false" ht="17.9" hidden="false" customHeight="false" outlineLevel="0" collapsed="false">
      <c r="A336" s="85" t="n">
        <v>335</v>
      </c>
      <c r="B336" s="85" t="n">
        <v>472530</v>
      </c>
      <c r="C336" s="86" t="s">
        <v>436</v>
      </c>
      <c r="D336" s="87" t="s">
        <v>125</v>
      </c>
      <c r="E336" s="88" t="str">
        <f aca="false">D336</f>
        <v>P3115</v>
      </c>
      <c r="F336" s="88" t="str">
        <f aca="false">REPLACE(E336, 1, 3, "")</f>
        <v>15</v>
      </c>
      <c r="G336" s="89" t="str">
        <f aca="true">IFERROR(VLOOKUP(B336,INDIRECT("'"&amp;$F336&amp;"'!D3:D"),1,FALSE()), "Not found")</f>
        <v>Not found</v>
      </c>
      <c r="H336" s="89" t="n">
        <f aca="true">INDIRECT("'"&amp;$F336&amp;"'!D1")</f>
        <v>1</v>
      </c>
      <c r="I336" s="89" t="str">
        <f aca="false">IFERROR(__xludf.dummyfunction("REGEXEXTRACT(ADDRESS(ROW(), 19+$H336), ""[A-Z]+"")"),"T")</f>
        <v>T</v>
      </c>
      <c r="J336" s="89" t="str">
        <f aca="false">IFERROR(__xludf.dummyfunction("REGEXEXTRACT(ADDRESS(ROW(), 25+$H336), ""[A-Z]+"")"),"Z")</f>
        <v>Z</v>
      </c>
      <c r="K336" s="89" t="str">
        <f aca="false">IFERROR(__xludf.dummyfunction("REGEXEXTRACT(ADDRESS(ROW(), 27+$H336), ""[A-Z]+"")"),"AB")</f>
        <v>AB</v>
      </c>
      <c r="L336" s="89" t="str">
        <f aca="false">IFERROR(__xludf.dummyfunction("REGEXEXTRACT(ADDRESS(ROW(), 28+$H336), ""[A-Z]+"")"),"AC")</f>
        <v>AC</v>
      </c>
      <c r="M336" s="89" t="str">
        <f aca="false">IFERROR(__xludf.dummyfunction("REGEXEXTRACT(ADDRESS(ROW(), 34+$H336), ""[A-Z]+"")"),"AI")</f>
        <v>AI</v>
      </c>
      <c r="N336" s="89" t="str">
        <f aca="false">IFERROR(__xludf.dummyfunction("REGEXEXTRACT(ADDRESS(ROW(), 37+$H336), ""[A-Z]+"")"),"AL")</f>
        <v>AL</v>
      </c>
      <c r="O336" s="89" t="str">
        <f aca="false">IFERROR(__xludf.dummyfunction("REGEXEXTRACT(ADDRESS(ROW(), 38+$H336), ""[A-Z]+"")"),"AM")</f>
        <v>AM</v>
      </c>
      <c r="P336" s="89" t="str">
        <f aca="false">IFERROR(__xludf.dummyfunction("REGEXEXTRACT(ADDRESS(ROW(), 39+$H336), ""[A-Z]+"")"),"AN")</f>
        <v>AN</v>
      </c>
      <c r="Q336" s="89" t="str">
        <f aca="false">IFERROR(__xludf.dummyfunction("REGEXEXTRACT(ADDRESS(ROW(), 40+$H336), ""[A-Z]+"")"),"AO")</f>
        <v>AO</v>
      </c>
      <c r="R336" s="89" t="n">
        <f aca="false">IFERROR(__xludf.dummyfunction("IFERROR(QUERY(INDIRECT(""'""&amp;$F336&amp;""'!C3:""&amp;Q336&amp;""""), ""SELECT ""&amp;I336&amp;"", ""&amp;J336&amp;"", ""&amp;K336&amp;"", ""&amp;L336&amp;"", ""&amp;M336&amp;"", ""&amp;N336&amp;"", ""&amp;O336&amp;"", ""&amp;P336&amp;"" WHERE '""&amp;B336&amp;""' CONTAINS D"", 0), """")"),18)</f>
        <v>18</v>
      </c>
      <c r="S336" s="89" t="n">
        <f aca="false">IFERROR(__xludf.dummyfunction("""COMPUTED_VALUE"""),12)</f>
        <v>12</v>
      </c>
      <c r="T336" s="89"/>
      <c r="U336" s="89"/>
      <c r="V336" s="89" t="n">
        <f aca="false">IFERROR(__xludf.dummyfunction("""COMPUTED_VALUE"""),6)</f>
        <v>6</v>
      </c>
      <c r="W336" s="89"/>
      <c r="X336" s="89" t="n">
        <f aca="false">IFERROR(__xludf.dummyfunction("""COMPUTED_VALUE"""),30)</f>
        <v>30</v>
      </c>
      <c r="Y336" s="89" t="n">
        <f aca="false">IFERROR(__xludf.dummyfunction("""COMPUTED_VALUE"""),66)</f>
        <v>66</v>
      </c>
    </row>
    <row r="337" customFormat="false" ht="17.9" hidden="false" customHeight="false" outlineLevel="0" collapsed="false">
      <c r="A337" s="85" t="n">
        <v>336</v>
      </c>
      <c r="B337" s="85" t="n">
        <v>467622</v>
      </c>
      <c r="C337" s="86" t="s">
        <v>437</v>
      </c>
      <c r="D337" s="87" t="s">
        <v>121</v>
      </c>
      <c r="E337" s="88" t="str">
        <f aca="false">D337</f>
        <v>P3120</v>
      </c>
      <c r="F337" s="88" t="str">
        <f aca="false">REPLACE(E337, 1, 3, "")</f>
        <v>20</v>
      </c>
      <c r="G337" s="89" t="str">
        <f aca="true">IFERROR(VLOOKUP(B337,INDIRECT("'"&amp;$F337&amp;"'!D3:D"),1,FALSE()), "Not found")</f>
        <v>Not found</v>
      </c>
      <c r="H337" s="89" t="n">
        <f aca="true">INDIRECT("'"&amp;$F337&amp;"'!D1")</f>
        <v>5</v>
      </c>
      <c r="I337" s="89" t="str">
        <f aca="false">IFERROR(__xludf.dummyfunction("REGEXEXTRACT(ADDRESS(ROW(), 19+$H337), ""[A-Z]+"")"),"X")</f>
        <v>X</v>
      </c>
      <c r="J337" s="89" t="str">
        <f aca="false">IFERROR(__xludf.dummyfunction("REGEXEXTRACT(ADDRESS(ROW(), 25+$H337), ""[A-Z]+"")"),"AD")</f>
        <v>AD</v>
      </c>
      <c r="K337" s="89" t="str">
        <f aca="false">IFERROR(__xludf.dummyfunction("REGEXEXTRACT(ADDRESS(ROW(), 27+$H337), ""[A-Z]+"")"),"AF")</f>
        <v>AF</v>
      </c>
      <c r="L337" s="89" t="str">
        <f aca="false">IFERROR(__xludf.dummyfunction("REGEXEXTRACT(ADDRESS(ROW(), 28+$H337), ""[A-Z]+"")"),"AG")</f>
        <v>AG</v>
      </c>
      <c r="M337" s="89" t="str">
        <f aca="false">IFERROR(__xludf.dummyfunction("REGEXEXTRACT(ADDRESS(ROW(), 34+$H337), ""[A-Z]+"")"),"AM")</f>
        <v>AM</v>
      </c>
      <c r="N337" s="89" t="str">
        <f aca="false">IFERROR(__xludf.dummyfunction("REGEXEXTRACT(ADDRESS(ROW(), 37+$H337), ""[A-Z]+"")"),"AP")</f>
        <v>AP</v>
      </c>
      <c r="O337" s="89" t="str">
        <f aca="false">IFERROR(__xludf.dummyfunction("REGEXEXTRACT(ADDRESS(ROW(), 38+$H337), ""[A-Z]+"")"),"AQ")</f>
        <v>AQ</v>
      </c>
      <c r="P337" s="89" t="str">
        <f aca="false">IFERROR(__xludf.dummyfunction("REGEXEXTRACT(ADDRESS(ROW(), 39+$H337), ""[A-Z]+"")"),"AR")</f>
        <v>AR</v>
      </c>
      <c r="Q337" s="89" t="str">
        <f aca="false">IFERROR(__xludf.dummyfunction("REGEXEXTRACT(ADDRESS(ROW(), 40+$H337), ""[A-Z]+"")"),"AS")</f>
        <v>AS</v>
      </c>
      <c r="R337" s="89" t="str">
        <f aca="false">IFERROR(__xludf.dummyfunction("IFERROR(QUERY(INDIRECT(""'""&amp;$F337&amp;""'!C3:""&amp;Q337&amp;""""), ""SELECT ""&amp;I337&amp;"", ""&amp;J337&amp;"", ""&amp;K337&amp;"", ""&amp;L337&amp;"", ""&amp;M337&amp;"", ""&amp;N337&amp;"", ""&amp;O337&amp;"", ""&amp;P337&amp;"" WHERE '""&amp;B337&amp;""' CONTAINS D"", 0), """")"),"")</f>
        <v/>
      </c>
      <c r="S337" s="89"/>
      <c r="T337" s="89"/>
      <c r="U337" s="89"/>
      <c r="V337" s="89" t="n">
        <f aca="false">IFERROR(__xludf.dummyfunction("""COMPUTED_VALUE"""),0)</f>
        <v>0</v>
      </c>
      <c r="W337" s="89"/>
      <c r="X337" s="89"/>
      <c r="Y337" s="89" t="n">
        <f aca="false">IFERROR(__xludf.dummyfunction("""COMPUTED_VALUE"""),0)</f>
        <v>0</v>
      </c>
    </row>
    <row r="338" customFormat="false" ht="17.9" hidden="false" customHeight="false" outlineLevel="0" collapsed="false">
      <c r="A338" s="85" t="n">
        <v>337</v>
      </c>
      <c r="B338" s="85" t="n">
        <v>467639</v>
      </c>
      <c r="C338" s="86" t="s">
        <v>438</v>
      </c>
      <c r="D338" s="87" t="s">
        <v>119</v>
      </c>
      <c r="E338" s="88" t="str">
        <f aca="false">D338</f>
        <v>P3121</v>
      </c>
      <c r="F338" s="88" t="str">
        <f aca="false">REPLACE(E338, 1, 3, "")</f>
        <v>21</v>
      </c>
      <c r="G338" s="89" t="str">
        <f aca="true">IFERROR(VLOOKUP(B338,INDIRECT("'"&amp;$F338&amp;"'!D3:D"),1,FALSE()), "Not found")</f>
        <v>Not found</v>
      </c>
      <c r="H338" s="89" t="n">
        <f aca="true">INDIRECT("'"&amp;$F338&amp;"'!D1")</f>
        <v>5</v>
      </c>
      <c r="I338" s="89" t="str">
        <f aca="false">IFERROR(__xludf.dummyfunction("REGEXEXTRACT(ADDRESS(ROW(), 19+$H338), ""[A-Z]+"")"),"X")</f>
        <v>X</v>
      </c>
      <c r="J338" s="89" t="str">
        <f aca="false">IFERROR(__xludf.dummyfunction("REGEXEXTRACT(ADDRESS(ROW(), 25+$H338), ""[A-Z]+"")"),"AD")</f>
        <v>AD</v>
      </c>
      <c r="K338" s="89" t="str">
        <f aca="false">IFERROR(__xludf.dummyfunction("REGEXEXTRACT(ADDRESS(ROW(), 27+$H338), ""[A-Z]+"")"),"AF")</f>
        <v>AF</v>
      </c>
      <c r="L338" s="89" t="str">
        <f aca="false">IFERROR(__xludf.dummyfunction("REGEXEXTRACT(ADDRESS(ROW(), 28+$H338), ""[A-Z]+"")"),"AG")</f>
        <v>AG</v>
      </c>
      <c r="M338" s="89" t="str">
        <f aca="false">IFERROR(__xludf.dummyfunction("REGEXEXTRACT(ADDRESS(ROW(), 34+$H338), ""[A-Z]+"")"),"AM")</f>
        <v>AM</v>
      </c>
      <c r="N338" s="89" t="str">
        <f aca="false">IFERROR(__xludf.dummyfunction("REGEXEXTRACT(ADDRESS(ROW(), 37+$H338), ""[A-Z]+"")"),"AP")</f>
        <v>AP</v>
      </c>
      <c r="O338" s="89" t="str">
        <f aca="false">IFERROR(__xludf.dummyfunction("REGEXEXTRACT(ADDRESS(ROW(), 38+$H338), ""[A-Z]+"")"),"AQ")</f>
        <v>AQ</v>
      </c>
      <c r="P338" s="89" t="str">
        <f aca="false">IFERROR(__xludf.dummyfunction("REGEXEXTRACT(ADDRESS(ROW(), 39+$H338), ""[A-Z]+"")"),"AR")</f>
        <v>AR</v>
      </c>
      <c r="Q338" s="89" t="str">
        <f aca="false">IFERROR(__xludf.dummyfunction("REGEXEXTRACT(ADDRESS(ROW(), 40+$H338), ""[A-Z]+"")"),"AS")</f>
        <v>AS</v>
      </c>
      <c r="R338" s="89" t="n">
        <f aca="false">IFERROR(__xludf.dummyfunction("IFERROR(QUERY(INDIRECT(""'""&amp;$F338&amp;""'!C3:""&amp;Q338&amp;""""), ""SELECT ""&amp;I338&amp;"", ""&amp;J338&amp;"", ""&amp;K338&amp;"", ""&amp;L338&amp;"", ""&amp;M338&amp;"", ""&amp;N338&amp;"", ""&amp;O338&amp;"", ""&amp;P338&amp;"" WHERE '""&amp;B338&amp;""' CONTAINS D"", 0), """")"),12)</f>
        <v>12</v>
      </c>
      <c r="S338" s="89" t="n">
        <f aca="false">IFERROR(__xludf.dummyfunction("""COMPUTED_VALUE"""),12)</f>
        <v>12</v>
      </c>
      <c r="T338" s="89"/>
      <c r="U338" s="89"/>
      <c r="V338" s="89" t="n">
        <f aca="false">IFERROR(__xludf.dummyfunction("""COMPUTED_VALUE"""),6)</f>
        <v>6</v>
      </c>
      <c r="W338" s="89"/>
      <c r="X338" s="89" t="n">
        <f aca="false">IFERROR(__xludf.dummyfunction("""COMPUTED_VALUE"""),31)</f>
        <v>31</v>
      </c>
      <c r="Y338" s="89" t="n">
        <f aca="false">IFERROR(__xludf.dummyfunction("""COMPUTED_VALUE"""),61)</f>
        <v>61</v>
      </c>
    </row>
    <row r="339" customFormat="false" ht="17.9" hidden="false" customHeight="false" outlineLevel="0" collapsed="false">
      <c r="A339" s="85" t="n">
        <v>338</v>
      </c>
      <c r="B339" s="85" t="n">
        <v>467647</v>
      </c>
      <c r="C339" s="86" t="s">
        <v>439</v>
      </c>
      <c r="D339" s="87" t="s">
        <v>130</v>
      </c>
      <c r="E339" s="88" t="str">
        <f aca="false">D339</f>
        <v>P3117</v>
      </c>
      <c r="F339" s="88" t="str">
        <f aca="false">REPLACE(E339, 1, 3, "")</f>
        <v>17</v>
      </c>
      <c r="G339" s="89" t="str">
        <f aca="true">IFERROR(VLOOKUP(B339,INDIRECT("'"&amp;$F339&amp;"'!D3:D"),1,FALSE()), "Not found")</f>
        <v>Not found</v>
      </c>
      <c r="H339" s="89" t="n">
        <f aca="true">INDIRECT("'"&amp;$F339&amp;"'!D1")</f>
        <v>1</v>
      </c>
      <c r="I339" s="89" t="str">
        <f aca="false">IFERROR(__xludf.dummyfunction("REGEXEXTRACT(ADDRESS(ROW(), 19+$H339), ""[A-Z]+"")"),"T")</f>
        <v>T</v>
      </c>
      <c r="J339" s="89" t="str">
        <f aca="false">IFERROR(__xludf.dummyfunction("REGEXEXTRACT(ADDRESS(ROW(), 25+$H339), ""[A-Z]+"")"),"Z")</f>
        <v>Z</v>
      </c>
      <c r="K339" s="89" t="str">
        <f aca="false">IFERROR(__xludf.dummyfunction("REGEXEXTRACT(ADDRESS(ROW(), 27+$H339), ""[A-Z]+"")"),"AB")</f>
        <v>AB</v>
      </c>
      <c r="L339" s="89" t="str">
        <f aca="false">IFERROR(__xludf.dummyfunction("REGEXEXTRACT(ADDRESS(ROW(), 28+$H339), ""[A-Z]+"")"),"AC")</f>
        <v>AC</v>
      </c>
      <c r="M339" s="89" t="str">
        <f aca="false">IFERROR(__xludf.dummyfunction("REGEXEXTRACT(ADDRESS(ROW(), 34+$H339), ""[A-Z]+"")"),"AI")</f>
        <v>AI</v>
      </c>
      <c r="N339" s="89" t="str">
        <f aca="false">IFERROR(__xludf.dummyfunction("REGEXEXTRACT(ADDRESS(ROW(), 37+$H339), ""[A-Z]+"")"),"AL")</f>
        <v>AL</v>
      </c>
      <c r="O339" s="89" t="str">
        <f aca="false">IFERROR(__xludf.dummyfunction("REGEXEXTRACT(ADDRESS(ROW(), 38+$H339), ""[A-Z]+"")"),"AM")</f>
        <v>AM</v>
      </c>
      <c r="P339" s="89" t="str">
        <f aca="false">IFERROR(__xludf.dummyfunction("REGEXEXTRACT(ADDRESS(ROW(), 39+$H339), ""[A-Z]+"")"),"AN")</f>
        <v>AN</v>
      </c>
      <c r="Q339" s="89" t="str">
        <f aca="false">IFERROR(__xludf.dummyfunction("REGEXEXTRACT(ADDRESS(ROW(), 40+$H339), ""[A-Z]+"")"),"AO")</f>
        <v>AO</v>
      </c>
      <c r="R339" s="89" t="n">
        <f aca="false">IFERROR(__xludf.dummyfunction("IFERROR(QUERY(INDIRECT(""'""&amp;$F339&amp;""'!C3:""&amp;Q339&amp;""""), ""SELECT ""&amp;I339&amp;"", ""&amp;J339&amp;"", ""&amp;K339&amp;"", ""&amp;L339&amp;"", ""&amp;M339&amp;"", ""&amp;N339&amp;"", ""&amp;O339&amp;"", ""&amp;P339&amp;"" WHERE '""&amp;B339&amp;""' CONTAINS D"", 0), """")"),17)</f>
        <v>17</v>
      </c>
      <c r="S339" s="89" t="n">
        <f aca="false">IFERROR(__xludf.dummyfunction("""COMPUTED_VALUE"""),13)</f>
        <v>13</v>
      </c>
      <c r="T339" s="89"/>
      <c r="U339" s="89"/>
      <c r="V339" s="89" t="n">
        <f aca="false">IFERROR(__xludf.dummyfunction("""COMPUTED_VALUE"""),6)</f>
        <v>6</v>
      </c>
      <c r="W339" s="89"/>
      <c r="X339" s="89" t="n">
        <f aca="false">IFERROR(__xludf.dummyfunction("""COMPUTED_VALUE"""),30)</f>
        <v>30</v>
      </c>
      <c r="Y339" s="89" t="n">
        <f aca="false">IFERROR(__xludf.dummyfunction("""COMPUTED_VALUE"""),66)</f>
        <v>66</v>
      </c>
    </row>
    <row r="340" customFormat="false" ht="17.9" hidden="false" customHeight="false" outlineLevel="0" collapsed="false">
      <c r="A340" s="85" t="n">
        <v>339</v>
      </c>
      <c r="B340" s="85" t="n">
        <v>467649</v>
      </c>
      <c r="C340" s="86" t="s">
        <v>440</v>
      </c>
      <c r="D340" s="87" t="s">
        <v>146</v>
      </c>
      <c r="E340" s="88" t="str">
        <f aca="false">D340</f>
        <v>P3113</v>
      </c>
      <c r="F340" s="88" t="str">
        <f aca="false">REPLACE(E340, 1, 3, "")</f>
        <v>13</v>
      </c>
      <c r="G340" s="89" t="str">
        <f aca="true">IFERROR(VLOOKUP(B340,INDIRECT("'"&amp;$F340&amp;"'!D3:D"),1,FALSE()), "Not found")</f>
        <v>Not found</v>
      </c>
      <c r="H340" s="89" t="n">
        <f aca="true">INDIRECT("'"&amp;$F340&amp;"'!D1")</f>
        <v>0</v>
      </c>
      <c r="I340" s="89" t="str">
        <f aca="false">IFERROR(__xludf.dummyfunction("REGEXEXTRACT(ADDRESS(ROW(), 19+$H340), ""[A-Z]+"")"),"S")</f>
        <v>S</v>
      </c>
      <c r="J340" s="89" t="str">
        <f aca="false">IFERROR(__xludf.dummyfunction("REGEXEXTRACT(ADDRESS(ROW(), 25+$H340), ""[A-Z]+"")"),"Y")</f>
        <v>Y</v>
      </c>
      <c r="K340" s="89" t="str">
        <f aca="false">IFERROR(__xludf.dummyfunction("REGEXEXTRACT(ADDRESS(ROW(), 27+$H340), ""[A-Z]+"")"),"AA")</f>
        <v>AA</v>
      </c>
      <c r="L340" s="89" t="str">
        <f aca="false">IFERROR(__xludf.dummyfunction("REGEXEXTRACT(ADDRESS(ROW(), 28+$H340), ""[A-Z]+"")"),"AB")</f>
        <v>AB</v>
      </c>
      <c r="M340" s="89" t="str">
        <f aca="false">IFERROR(__xludf.dummyfunction("REGEXEXTRACT(ADDRESS(ROW(), 34+$H340), ""[A-Z]+"")"),"AH")</f>
        <v>AH</v>
      </c>
      <c r="N340" s="89" t="str">
        <f aca="false">IFERROR(__xludf.dummyfunction("REGEXEXTRACT(ADDRESS(ROW(), 37+$H340), ""[A-Z]+"")"),"AK")</f>
        <v>AK</v>
      </c>
      <c r="O340" s="89" t="str">
        <f aca="false">IFERROR(__xludf.dummyfunction("REGEXEXTRACT(ADDRESS(ROW(), 38+$H340), ""[A-Z]+"")"),"AL")</f>
        <v>AL</v>
      </c>
      <c r="P340" s="89" t="str">
        <f aca="false">IFERROR(__xludf.dummyfunction("REGEXEXTRACT(ADDRESS(ROW(), 39+$H340), ""[A-Z]+"")"),"AM")</f>
        <v>AM</v>
      </c>
      <c r="Q340" s="89" t="str">
        <f aca="false">IFERROR(__xludf.dummyfunction("REGEXEXTRACT(ADDRESS(ROW(), 40+$H340), ""[A-Z]+"")"),"AN")</f>
        <v>AN</v>
      </c>
      <c r="R340" s="89" t="n">
        <f aca="false">IFERROR(__xludf.dummyfunction("IFERROR(QUERY(INDIRECT(""'""&amp;$F340&amp;""'!C3:""&amp;Q340&amp;""""), ""SELECT ""&amp;I340&amp;"", ""&amp;J340&amp;"", ""&amp;K340&amp;"", ""&amp;L340&amp;"", ""&amp;M340&amp;"", ""&amp;N340&amp;"", ""&amp;O340&amp;"", ""&amp;P340&amp;"" WHERE '""&amp;B340&amp;""' CONTAINS D"", 0), """")"),17)</f>
        <v>17</v>
      </c>
      <c r="S340" s="89" t="n">
        <f aca="false">IFERROR(__xludf.dummyfunction("""COMPUTED_VALUE"""),17)</f>
        <v>17</v>
      </c>
      <c r="T340" s="89"/>
      <c r="U340" s="89"/>
      <c r="V340" s="89" t="n">
        <f aca="false">IFERROR(__xludf.dummyfunction("""COMPUTED_VALUE"""),6)</f>
        <v>6</v>
      </c>
      <c r="W340" s="89"/>
      <c r="X340" s="89" t="n">
        <f aca="false">IFERROR(__xludf.dummyfunction("""COMPUTED_VALUE"""),35)</f>
        <v>35</v>
      </c>
      <c r="Y340" s="89" t="n">
        <f aca="false">IFERROR(__xludf.dummyfunction("""COMPUTED_VALUE"""),75)</f>
        <v>75</v>
      </c>
    </row>
    <row r="341" customFormat="false" ht="17.9" hidden="false" customHeight="false" outlineLevel="0" collapsed="false">
      <c r="A341" s="85" t="n">
        <v>340</v>
      </c>
      <c r="B341" s="85" t="n">
        <v>467654</v>
      </c>
      <c r="C341" s="86" t="s">
        <v>441</v>
      </c>
      <c r="D341" s="87" t="s">
        <v>139</v>
      </c>
      <c r="E341" s="88" t="str">
        <f aca="false">D341</f>
        <v>P3118</v>
      </c>
      <c r="F341" s="88" t="str">
        <f aca="false">REPLACE(E341, 1, 3, "")</f>
        <v>18</v>
      </c>
      <c r="G341" s="89" t="str">
        <f aca="true">IFERROR(VLOOKUP(B341,INDIRECT("'"&amp;$F341&amp;"'!D3:D"),1,FALSE()), "Not found")</f>
        <v>Not found</v>
      </c>
      <c r="H341" s="89" t="n">
        <f aca="true">INDIRECT("'"&amp;$F341&amp;"'!D1")</f>
        <v>0</v>
      </c>
      <c r="I341" s="89" t="str">
        <f aca="false">IFERROR(__xludf.dummyfunction("REGEXEXTRACT(ADDRESS(ROW(), 19+$H341), ""[A-Z]+"")"),"S")</f>
        <v>S</v>
      </c>
      <c r="J341" s="89" t="str">
        <f aca="false">IFERROR(__xludf.dummyfunction("REGEXEXTRACT(ADDRESS(ROW(), 25+$H341), ""[A-Z]+"")"),"Y")</f>
        <v>Y</v>
      </c>
      <c r="K341" s="89" t="str">
        <f aca="false">IFERROR(__xludf.dummyfunction("REGEXEXTRACT(ADDRESS(ROW(), 27+$H341), ""[A-Z]+"")"),"AA")</f>
        <v>AA</v>
      </c>
      <c r="L341" s="89" t="str">
        <f aca="false">IFERROR(__xludf.dummyfunction("REGEXEXTRACT(ADDRESS(ROW(), 28+$H341), ""[A-Z]+"")"),"AB")</f>
        <v>AB</v>
      </c>
      <c r="M341" s="89" t="str">
        <f aca="false">IFERROR(__xludf.dummyfunction("REGEXEXTRACT(ADDRESS(ROW(), 34+$H341), ""[A-Z]+"")"),"AH")</f>
        <v>AH</v>
      </c>
      <c r="N341" s="89" t="str">
        <f aca="false">IFERROR(__xludf.dummyfunction("REGEXEXTRACT(ADDRESS(ROW(), 37+$H341), ""[A-Z]+"")"),"AK")</f>
        <v>AK</v>
      </c>
      <c r="O341" s="89" t="str">
        <f aca="false">IFERROR(__xludf.dummyfunction("REGEXEXTRACT(ADDRESS(ROW(), 38+$H341), ""[A-Z]+"")"),"AL")</f>
        <v>AL</v>
      </c>
      <c r="P341" s="89" t="str">
        <f aca="false">IFERROR(__xludf.dummyfunction("REGEXEXTRACT(ADDRESS(ROW(), 39+$H341), ""[A-Z]+"")"),"AM")</f>
        <v>AM</v>
      </c>
      <c r="Q341" s="89" t="str">
        <f aca="false">IFERROR(__xludf.dummyfunction("REGEXEXTRACT(ADDRESS(ROW(), 40+$H341), ""[A-Z]+"")"),"AN")</f>
        <v>AN</v>
      </c>
      <c r="R341" s="89" t="n">
        <f aca="false">IFERROR(__xludf.dummyfunction("IFERROR(QUERY(INDIRECT(""'""&amp;$F341&amp;""'!C3:""&amp;Q341&amp;""""), ""SELECT ""&amp;I341&amp;"", ""&amp;J341&amp;"", ""&amp;K341&amp;"", ""&amp;L341&amp;"", ""&amp;M341&amp;"", ""&amp;N341&amp;"", ""&amp;O341&amp;"", ""&amp;P341&amp;"" WHERE '""&amp;B341&amp;""' CONTAINS D"", 0), """")"),19.7)</f>
        <v>19.7</v>
      </c>
      <c r="S341" s="89" t="n">
        <f aca="false">IFERROR(__xludf.dummyfunction("""COMPUTED_VALUE"""),19.4)</f>
        <v>19.4</v>
      </c>
      <c r="T341" s="89"/>
      <c r="U341" s="89"/>
      <c r="V341" s="89" t="n">
        <f aca="false">IFERROR(__xludf.dummyfunction("""COMPUTED_VALUE"""),6)</f>
        <v>6</v>
      </c>
      <c r="W341" s="89"/>
      <c r="X341" s="89" t="n">
        <f aca="false">IFERROR(__xludf.dummyfunction("""COMPUTED_VALUE"""),38)</f>
        <v>38</v>
      </c>
      <c r="Y341" s="89" t="n">
        <f aca="false">IFERROR(__xludf.dummyfunction("""COMPUTED_VALUE"""),83.1)</f>
        <v>83.1</v>
      </c>
    </row>
    <row r="342" customFormat="false" ht="17.9" hidden="false" customHeight="false" outlineLevel="0" collapsed="false">
      <c r="A342" s="85" t="n">
        <v>341</v>
      </c>
      <c r="B342" s="85" t="n">
        <v>409658</v>
      </c>
      <c r="C342" s="86" t="s">
        <v>442</v>
      </c>
      <c r="D342" s="87" t="s">
        <v>127</v>
      </c>
      <c r="E342" s="88" t="str">
        <f aca="false">D342</f>
        <v>P3131</v>
      </c>
      <c r="F342" s="88" t="str">
        <f aca="false">REPLACE(E342, 1, 3, "")</f>
        <v>31</v>
      </c>
      <c r="G342" s="89" t="str">
        <f aca="true">IFERROR(VLOOKUP(B342,INDIRECT("'"&amp;$F342&amp;"'!D3:D"),1,FALSE()), "Not found")</f>
        <v>Not found</v>
      </c>
      <c r="H342" s="89" t="n">
        <f aca="true">INDIRECT("'"&amp;$F342&amp;"'!D1")</f>
        <v>0</v>
      </c>
      <c r="I342" s="89" t="str">
        <f aca="false">IFERROR(__xludf.dummyfunction("REGEXEXTRACT(ADDRESS(ROW(), 19+$H342), ""[A-Z]+"")"),"S")</f>
        <v>S</v>
      </c>
      <c r="J342" s="89" t="str">
        <f aca="false">IFERROR(__xludf.dummyfunction("REGEXEXTRACT(ADDRESS(ROW(), 25+$H342), ""[A-Z]+"")"),"Y")</f>
        <v>Y</v>
      </c>
      <c r="K342" s="89" t="str">
        <f aca="false">IFERROR(__xludf.dummyfunction("REGEXEXTRACT(ADDRESS(ROW(), 27+$H342), ""[A-Z]+"")"),"AA")</f>
        <v>AA</v>
      </c>
      <c r="L342" s="89" t="str">
        <f aca="false">IFERROR(__xludf.dummyfunction("REGEXEXTRACT(ADDRESS(ROW(), 28+$H342), ""[A-Z]+"")"),"AB")</f>
        <v>AB</v>
      </c>
      <c r="M342" s="89" t="str">
        <f aca="false">IFERROR(__xludf.dummyfunction("REGEXEXTRACT(ADDRESS(ROW(), 34+$H342), ""[A-Z]+"")"),"AH")</f>
        <v>AH</v>
      </c>
      <c r="N342" s="89" t="str">
        <f aca="false">IFERROR(__xludf.dummyfunction("REGEXEXTRACT(ADDRESS(ROW(), 37+$H342), ""[A-Z]+"")"),"AK")</f>
        <v>AK</v>
      </c>
      <c r="O342" s="89" t="str">
        <f aca="false">IFERROR(__xludf.dummyfunction("REGEXEXTRACT(ADDRESS(ROW(), 38+$H342), ""[A-Z]+"")"),"AL")</f>
        <v>AL</v>
      </c>
      <c r="P342" s="89" t="str">
        <f aca="false">IFERROR(__xludf.dummyfunction("REGEXEXTRACT(ADDRESS(ROW(), 39+$H342), ""[A-Z]+"")"),"AM")</f>
        <v>AM</v>
      </c>
      <c r="Q342" s="89" t="str">
        <f aca="false">IFERROR(__xludf.dummyfunction("REGEXEXTRACT(ADDRESS(ROW(), 40+$H342), ""[A-Z]+"")"),"AN")</f>
        <v>AN</v>
      </c>
      <c r="R342" s="89" t="str">
        <f aca="false">IFERROR(__xludf.dummyfunction("IFERROR(QUERY(INDIRECT(""'""&amp;$F342&amp;""'!C3:""&amp;Q342&amp;""""), ""SELECT ""&amp;I342&amp;"", ""&amp;J342&amp;"", ""&amp;K342&amp;"", ""&amp;L342&amp;"", ""&amp;M342&amp;"", ""&amp;N342&amp;"", ""&amp;O342&amp;"", ""&amp;P342&amp;"" WHERE '""&amp;B342&amp;""' CONTAINS D"", 0), """")"),"")</f>
        <v/>
      </c>
      <c r="S342" s="89"/>
      <c r="T342" s="89"/>
      <c r="U342" s="89"/>
      <c r="V342" s="89" t="n">
        <f aca="false">IFERROR(__xludf.dummyfunction("""COMPUTED_VALUE"""),0)</f>
        <v>0</v>
      </c>
      <c r="W342" s="89"/>
      <c r="X342" s="89" t="n">
        <f aca="false">IFERROR(__xludf.dummyfunction("""COMPUTED_VALUE"""),0)</f>
        <v>0</v>
      </c>
      <c r="Y342" s="89" t="n">
        <f aca="false">IFERROR(__xludf.dummyfunction("""COMPUTED_VALUE"""),0)</f>
        <v>0</v>
      </c>
    </row>
    <row r="343" customFormat="false" ht="17.9" hidden="false" customHeight="false" outlineLevel="0" collapsed="false">
      <c r="A343" s="85" t="n">
        <v>342</v>
      </c>
      <c r="B343" s="85" t="n">
        <v>374849</v>
      </c>
      <c r="C343" s="86" t="s">
        <v>443</v>
      </c>
      <c r="D343" s="87" t="s">
        <v>119</v>
      </c>
      <c r="E343" s="88" t="str">
        <f aca="false">D343</f>
        <v>P3121</v>
      </c>
      <c r="F343" s="88" t="str">
        <f aca="false">REPLACE(E343, 1, 3, "")</f>
        <v>21</v>
      </c>
      <c r="G343" s="89" t="str">
        <f aca="true">IFERROR(VLOOKUP(B343,INDIRECT("'"&amp;$F343&amp;"'!D3:D"),1,FALSE()), "Not found")</f>
        <v>Not found</v>
      </c>
      <c r="H343" s="89" t="n">
        <f aca="true">INDIRECT("'"&amp;$F343&amp;"'!D1")</f>
        <v>5</v>
      </c>
      <c r="I343" s="89" t="str">
        <f aca="false">IFERROR(__xludf.dummyfunction("REGEXEXTRACT(ADDRESS(ROW(), 19+$H343), ""[A-Z]+"")"),"X")</f>
        <v>X</v>
      </c>
      <c r="J343" s="89" t="str">
        <f aca="false">IFERROR(__xludf.dummyfunction("REGEXEXTRACT(ADDRESS(ROW(), 25+$H343), ""[A-Z]+"")"),"AD")</f>
        <v>AD</v>
      </c>
      <c r="K343" s="89" t="str">
        <f aca="false">IFERROR(__xludf.dummyfunction("REGEXEXTRACT(ADDRESS(ROW(), 27+$H343), ""[A-Z]+"")"),"AF")</f>
        <v>AF</v>
      </c>
      <c r="L343" s="89" t="str">
        <f aca="false">IFERROR(__xludf.dummyfunction("REGEXEXTRACT(ADDRESS(ROW(), 28+$H343), ""[A-Z]+"")"),"AG")</f>
        <v>AG</v>
      </c>
      <c r="M343" s="89" t="str">
        <f aca="false">IFERROR(__xludf.dummyfunction("REGEXEXTRACT(ADDRESS(ROW(), 34+$H343), ""[A-Z]+"")"),"AM")</f>
        <v>AM</v>
      </c>
      <c r="N343" s="89" t="str">
        <f aca="false">IFERROR(__xludf.dummyfunction("REGEXEXTRACT(ADDRESS(ROW(), 37+$H343), ""[A-Z]+"")"),"AP")</f>
        <v>AP</v>
      </c>
      <c r="O343" s="89" t="str">
        <f aca="false">IFERROR(__xludf.dummyfunction("REGEXEXTRACT(ADDRESS(ROW(), 38+$H343), ""[A-Z]+"")"),"AQ")</f>
        <v>AQ</v>
      </c>
      <c r="P343" s="89" t="str">
        <f aca="false">IFERROR(__xludf.dummyfunction("REGEXEXTRACT(ADDRESS(ROW(), 39+$H343), ""[A-Z]+"")"),"AR")</f>
        <v>AR</v>
      </c>
      <c r="Q343" s="89" t="str">
        <f aca="false">IFERROR(__xludf.dummyfunction("REGEXEXTRACT(ADDRESS(ROW(), 40+$H343), ""[A-Z]+"")"),"AS")</f>
        <v>AS</v>
      </c>
      <c r="R343" s="89" t="str">
        <f aca="false">IFERROR(__xludf.dummyfunction("IFERROR(QUERY(INDIRECT(""'""&amp;$F343&amp;""'!C3:""&amp;Q343&amp;""""), ""SELECT ""&amp;I343&amp;"", ""&amp;J343&amp;"", ""&amp;K343&amp;"", ""&amp;L343&amp;"", ""&amp;M343&amp;"", ""&amp;N343&amp;"", ""&amp;O343&amp;"", ""&amp;P343&amp;"" WHERE '""&amp;B343&amp;""' CONTAINS D"", 0), """")"),"")</f>
        <v/>
      </c>
      <c r="S343" s="89"/>
      <c r="T343" s="89"/>
      <c r="U343" s="89"/>
      <c r="V343" s="89" t="n">
        <f aca="false">IFERROR(__xludf.dummyfunction("""COMPUTED_VALUE"""),0)</f>
        <v>0</v>
      </c>
      <c r="W343" s="89"/>
      <c r="X343" s="89"/>
      <c r="Y343" s="89" t="n">
        <f aca="false">IFERROR(__xludf.dummyfunction("""COMPUTED_VALUE"""),0)</f>
        <v>0</v>
      </c>
    </row>
    <row r="344" customFormat="false" ht="17.9" hidden="false" customHeight="false" outlineLevel="0" collapsed="false">
      <c r="A344" s="85" t="n">
        <v>343</v>
      </c>
      <c r="B344" s="85" t="n">
        <v>467667</v>
      </c>
      <c r="C344" s="86" t="s">
        <v>444</v>
      </c>
      <c r="D344" s="87" t="s">
        <v>89</v>
      </c>
      <c r="E344" s="88" t="str">
        <f aca="false">D344</f>
        <v>P3119</v>
      </c>
      <c r="F344" s="88" t="str">
        <f aca="false">REPLACE(E344, 1, 3, "")</f>
        <v>19</v>
      </c>
      <c r="G344" s="89" t="str">
        <f aca="true">IFERROR(VLOOKUP(B344,INDIRECT("'"&amp;$F344&amp;"'!D3:D"),1,FALSE()), "Not found")</f>
        <v>Not found</v>
      </c>
      <c r="H344" s="89" t="n">
        <f aca="true">INDIRECT("'"&amp;$F344&amp;"'!D1")</f>
        <v>0</v>
      </c>
      <c r="I344" s="89" t="str">
        <f aca="false">IFERROR(__xludf.dummyfunction("REGEXEXTRACT(ADDRESS(ROW(), 19+$H344), ""[A-Z]+"")"),"S")</f>
        <v>S</v>
      </c>
      <c r="J344" s="89" t="str">
        <f aca="false">IFERROR(__xludf.dummyfunction("REGEXEXTRACT(ADDRESS(ROW(), 25+$H344), ""[A-Z]+"")"),"Y")</f>
        <v>Y</v>
      </c>
      <c r="K344" s="89" t="str">
        <f aca="false">IFERROR(__xludf.dummyfunction("REGEXEXTRACT(ADDRESS(ROW(), 27+$H344), ""[A-Z]+"")"),"AA")</f>
        <v>AA</v>
      </c>
      <c r="L344" s="89" t="str">
        <f aca="false">IFERROR(__xludf.dummyfunction("REGEXEXTRACT(ADDRESS(ROW(), 28+$H344), ""[A-Z]+"")"),"AB")</f>
        <v>AB</v>
      </c>
      <c r="M344" s="89" t="str">
        <f aca="false">IFERROR(__xludf.dummyfunction("REGEXEXTRACT(ADDRESS(ROW(), 34+$H344), ""[A-Z]+"")"),"AH")</f>
        <v>AH</v>
      </c>
      <c r="N344" s="89" t="str">
        <f aca="false">IFERROR(__xludf.dummyfunction("REGEXEXTRACT(ADDRESS(ROW(), 37+$H344), ""[A-Z]+"")"),"AK")</f>
        <v>AK</v>
      </c>
      <c r="O344" s="89" t="str">
        <f aca="false">IFERROR(__xludf.dummyfunction("REGEXEXTRACT(ADDRESS(ROW(), 38+$H344), ""[A-Z]+"")"),"AL")</f>
        <v>AL</v>
      </c>
      <c r="P344" s="89" t="str">
        <f aca="false">IFERROR(__xludf.dummyfunction("REGEXEXTRACT(ADDRESS(ROW(), 39+$H344), ""[A-Z]+"")"),"AM")</f>
        <v>AM</v>
      </c>
      <c r="Q344" s="89" t="str">
        <f aca="false">IFERROR(__xludf.dummyfunction("REGEXEXTRACT(ADDRESS(ROW(), 40+$H344), ""[A-Z]+"")"),"AN")</f>
        <v>AN</v>
      </c>
      <c r="R344" s="89" t="n">
        <f aca="false">IFERROR(__xludf.dummyfunction("IFERROR(QUERY(INDIRECT(""'""&amp;$F344&amp;""'!C3:""&amp;Q344&amp;""""), ""SELECT ""&amp;I344&amp;"", ""&amp;J344&amp;"", ""&amp;K344&amp;"", ""&amp;L344&amp;"", ""&amp;M344&amp;"", ""&amp;N344&amp;"", ""&amp;O344&amp;"", ""&amp;P344&amp;"" WHERE '""&amp;B344&amp;""' CONTAINS D"", 0), """")"),19)</f>
        <v>19</v>
      </c>
      <c r="S344" s="89" t="n">
        <f aca="false">IFERROR(__xludf.dummyfunction("""COMPUTED_VALUE"""),17)</f>
        <v>17</v>
      </c>
      <c r="T344" s="89"/>
      <c r="U344" s="89"/>
      <c r="V344" s="89" t="n">
        <f aca="false">IFERROR(__xludf.dummyfunction("""COMPUTED_VALUE"""),6)</f>
        <v>6</v>
      </c>
      <c r="W344" s="89"/>
      <c r="X344" s="89" t="n">
        <f aca="false">IFERROR(__xludf.dummyfunction("""COMPUTED_VALUE"""),40)</f>
        <v>40</v>
      </c>
      <c r="Y344" s="89" t="n">
        <f aca="false">IFERROR(__xludf.dummyfunction("""COMPUTED_VALUE"""),82)</f>
        <v>82</v>
      </c>
    </row>
    <row r="345" customFormat="false" ht="17.9" hidden="false" customHeight="false" outlineLevel="0" collapsed="false">
      <c r="A345" s="85" t="n">
        <v>344</v>
      </c>
      <c r="B345" s="85" t="n">
        <v>467669</v>
      </c>
      <c r="C345" s="86" t="s">
        <v>445</v>
      </c>
      <c r="D345" s="87" t="s">
        <v>95</v>
      </c>
      <c r="E345" s="88" t="str">
        <f aca="false">D345</f>
        <v>P3106</v>
      </c>
      <c r="F345" s="88" t="str">
        <f aca="false">REPLACE(E345, 1, 3, "")</f>
        <v>06</v>
      </c>
      <c r="G345" s="89" t="str">
        <f aca="true">IFERROR(VLOOKUP(B345,INDIRECT("'"&amp;$F345&amp;"'!D3:D"),1,FALSE()), "Not found")</f>
        <v>Not found</v>
      </c>
      <c r="H345" s="89" t="n">
        <f aca="true">INDIRECT("'"&amp;$F345&amp;"'!D1")</f>
        <v>0</v>
      </c>
      <c r="I345" s="89" t="str">
        <f aca="false">IFERROR(__xludf.dummyfunction("REGEXEXTRACT(ADDRESS(ROW(), 19+$H345), ""[A-Z]+"")"),"S")</f>
        <v>S</v>
      </c>
      <c r="J345" s="89" t="str">
        <f aca="false">IFERROR(__xludf.dummyfunction("REGEXEXTRACT(ADDRESS(ROW(), 25+$H345), ""[A-Z]+"")"),"Y")</f>
        <v>Y</v>
      </c>
      <c r="K345" s="89" t="str">
        <f aca="false">IFERROR(__xludf.dummyfunction("REGEXEXTRACT(ADDRESS(ROW(), 27+$H345), ""[A-Z]+"")"),"AA")</f>
        <v>AA</v>
      </c>
      <c r="L345" s="89" t="str">
        <f aca="false">IFERROR(__xludf.dummyfunction("REGEXEXTRACT(ADDRESS(ROW(), 28+$H345), ""[A-Z]+"")"),"AB")</f>
        <v>AB</v>
      </c>
      <c r="M345" s="89" t="str">
        <f aca="false">IFERROR(__xludf.dummyfunction("REGEXEXTRACT(ADDRESS(ROW(), 34+$H345), ""[A-Z]+"")"),"AH")</f>
        <v>AH</v>
      </c>
      <c r="N345" s="89" t="str">
        <f aca="false">IFERROR(__xludf.dummyfunction("REGEXEXTRACT(ADDRESS(ROW(), 37+$H345), ""[A-Z]+"")"),"AK")</f>
        <v>AK</v>
      </c>
      <c r="O345" s="89" t="str">
        <f aca="false">IFERROR(__xludf.dummyfunction("REGEXEXTRACT(ADDRESS(ROW(), 38+$H345), ""[A-Z]+"")"),"AL")</f>
        <v>AL</v>
      </c>
      <c r="P345" s="89" t="str">
        <f aca="false">IFERROR(__xludf.dummyfunction("REGEXEXTRACT(ADDRESS(ROW(), 39+$H345), ""[A-Z]+"")"),"AM")</f>
        <v>AM</v>
      </c>
      <c r="Q345" s="89" t="str">
        <f aca="false">IFERROR(__xludf.dummyfunction("REGEXEXTRACT(ADDRESS(ROW(), 40+$H345), ""[A-Z]+"")"),"AN")</f>
        <v>AN</v>
      </c>
      <c r="R345" s="89" t="n">
        <f aca="false">IFERROR(__xludf.dummyfunction("IFERROR(QUERY(INDIRECT(""'""&amp;$F345&amp;""'!C3:""&amp;Q345&amp;""""), ""SELECT ""&amp;I345&amp;"", ""&amp;J345&amp;"", ""&amp;K345&amp;"", ""&amp;L345&amp;"", ""&amp;M345&amp;"", ""&amp;N345&amp;"", ""&amp;O345&amp;"", ""&amp;P345&amp;"" WHERE '""&amp;B345&amp;""' CONTAINS D"", 0), """")"),19)</f>
        <v>19</v>
      </c>
      <c r="S345" s="89" t="n">
        <f aca="false">IFERROR(__xludf.dummyfunction("""COMPUTED_VALUE"""),19)</f>
        <v>19</v>
      </c>
      <c r="T345" s="89"/>
      <c r="U345" s="89"/>
      <c r="V345" s="89" t="n">
        <f aca="false">IFERROR(__xludf.dummyfunction("""COMPUTED_VALUE"""),8)</f>
        <v>8</v>
      </c>
      <c r="W345" s="89"/>
      <c r="X345" s="89" t="n">
        <f aca="false">IFERROR(__xludf.dummyfunction("""COMPUTED_VALUE"""),40)</f>
        <v>40</v>
      </c>
      <c r="Y345" s="89" t="n">
        <f aca="false">IFERROR(__xludf.dummyfunction("""COMPUTED_VALUE"""),86)</f>
        <v>86</v>
      </c>
    </row>
    <row r="346" customFormat="false" ht="17.9" hidden="false" customHeight="false" outlineLevel="0" collapsed="false">
      <c r="A346" s="85" t="n">
        <v>345</v>
      </c>
      <c r="B346" s="85" t="n">
        <v>467675</v>
      </c>
      <c r="C346" s="86" t="s">
        <v>446</v>
      </c>
      <c r="D346" s="87" t="s">
        <v>183</v>
      </c>
      <c r="E346" s="88" t="str">
        <f aca="false">D346</f>
        <v>P3107</v>
      </c>
      <c r="F346" s="88" t="str">
        <f aca="false">REPLACE(E346, 1, 3, "")</f>
        <v>07</v>
      </c>
      <c r="G346" s="89" t="str">
        <f aca="true">IFERROR(VLOOKUP(B346,INDIRECT("'"&amp;$F346&amp;"'!D3:D"),1,FALSE()), "Not found")</f>
        <v>Not found</v>
      </c>
      <c r="H346" s="89" t="n">
        <f aca="true">INDIRECT("'"&amp;$F346&amp;"'!D1")</f>
        <v>0</v>
      </c>
      <c r="I346" s="89" t="str">
        <f aca="false">IFERROR(__xludf.dummyfunction("REGEXEXTRACT(ADDRESS(ROW(), 19+$H346), ""[A-Z]+"")"),"S")</f>
        <v>S</v>
      </c>
      <c r="J346" s="89" t="str">
        <f aca="false">IFERROR(__xludf.dummyfunction("REGEXEXTRACT(ADDRESS(ROW(), 25+$H346), ""[A-Z]+"")"),"Y")</f>
        <v>Y</v>
      </c>
      <c r="K346" s="89" t="str">
        <f aca="false">IFERROR(__xludf.dummyfunction("REGEXEXTRACT(ADDRESS(ROW(), 27+$H346), ""[A-Z]+"")"),"AA")</f>
        <v>AA</v>
      </c>
      <c r="L346" s="89" t="str">
        <f aca="false">IFERROR(__xludf.dummyfunction("REGEXEXTRACT(ADDRESS(ROW(), 28+$H346), ""[A-Z]+"")"),"AB")</f>
        <v>AB</v>
      </c>
      <c r="M346" s="89" t="str">
        <f aca="false">IFERROR(__xludf.dummyfunction("REGEXEXTRACT(ADDRESS(ROW(), 34+$H346), ""[A-Z]+"")"),"AH")</f>
        <v>AH</v>
      </c>
      <c r="N346" s="89" t="str">
        <f aca="false">IFERROR(__xludf.dummyfunction("REGEXEXTRACT(ADDRESS(ROW(), 37+$H346), ""[A-Z]+"")"),"AK")</f>
        <v>AK</v>
      </c>
      <c r="O346" s="89" t="str">
        <f aca="false">IFERROR(__xludf.dummyfunction("REGEXEXTRACT(ADDRESS(ROW(), 38+$H346), ""[A-Z]+"")"),"AL")</f>
        <v>AL</v>
      </c>
      <c r="P346" s="89" t="str">
        <f aca="false">IFERROR(__xludf.dummyfunction("REGEXEXTRACT(ADDRESS(ROW(), 39+$H346), ""[A-Z]+"")"),"AM")</f>
        <v>AM</v>
      </c>
      <c r="Q346" s="89" t="str">
        <f aca="false">IFERROR(__xludf.dummyfunction("REGEXEXTRACT(ADDRESS(ROW(), 40+$H346), ""[A-Z]+"")"),"AN")</f>
        <v>AN</v>
      </c>
      <c r="R346" s="89" t="n">
        <f aca="false">IFERROR(__xludf.dummyfunction("IFERROR(QUERY(INDIRECT(""'""&amp;$F346&amp;""'!C3:""&amp;Q346&amp;""""), ""SELECT ""&amp;I346&amp;"", ""&amp;J346&amp;"", ""&amp;K346&amp;"", ""&amp;L346&amp;"", ""&amp;M346&amp;"", ""&amp;N346&amp;"", ""&amp;O346&amp;"", ""&amp;P346&amp;"" WHERE '""&amp;B346&amp;""' CONTAINS D"", 0), """")"),17.5)</f>
        <v>17.5</v>
      </c>
      <c r="S346" s="89" t="n">
        <f aca="false">IFERROR(__xludf.dummyfunction("""COMPUTED_VALUE"""),15)</f>
        <v>15</v>
      </c>
      <c r="T346" s="89"/>
      <c r="U346" s="89"/>
      <c r="V346" s="89" t="n">
        <f aca="false">IFERROR(__xludf.dummyfunction("""COMPUTED_VALUE"""),9)</f>
        <v>9</v>
      </c>
      <c r="W346" s="89"/>
      <c r="X346" s="89" t="n">
        <f aca="false">IFERROR(__xludf.dummyfunction("""COMPUTED_VALUE"""),40)</f>
        <v>40</v>
      </c>
      <c r="Y346" s="89" t="n">
        <f aca="false">IFERROR(__xludf.dummyfunction("""COMPUTED_VALUE"""),81.5)</f>
        <v>81.5</v>
      </c>
    </row>
    <row r="347" customFormat="false" ht="17.9" hidden="false" customHeight="false" outlineLevel="0" collapsed="false">
      <c r="A347" s="85" t="n">
        <v>346</v>
      </c>
      <c r="B347" s="85" t="n">
        <v>467676</v>
      </c>
      <c r="C347" s="86" t="s">
        <v>447</v>
      </c>
      <c r="D347" s="87" t="s">
        <v>85</v>
      </c>
      <c r="E347" s="88" t="str">
        <f aca="false">D347</f>
        <v>P3132</v>
      </c>
      <c r="F347" s="88" t="str">
        <f aca="false">REPLACE(E347, 1, 3, "")</f>
        <v>32</v>
      </c>
      <c r="G347" s="89" t="str">
        <f aca="true">IFERROR(VLOOKUP(B347,INDIRECT("'"&amp;$F347&amp;"'!D3:D"),1,FALSE()), "Not found")</f>
        <v>Not found</v>
      </c>
      <c r="H347" s="89" t="n">
        <f aca="true">INDIRECT("'"&amp;$F347&amp;"'!D1")</f>
        <v>0</v>
      </c>
      <c r="I347" s="89" t="str">
        <f aca="false">IFERROR(__xludf.dummyfunction("REGEXEXTRACT(ADDRESS(ROW(), 19+$H347), ""[A-Z]+"")"),"S")</f>
        <v>S</v>
      </c>
      <c r="J347" s="89" t="str">
        <f aca="false">IFERROR(__xludf.dummyfunction("REGEXEXTRACT(ADDRESS(ROW(), 25+$H347), ""[A-Z]+"")"),"Y")</f>
        <v>Y</v>
      </c>
      <c r="K347" s="89" t="str">
        <f aca="false">IFERROR(__xludf.dummyfunction("REGEXEXTRACT(ADDRESS(ROW(), 27+$H347), ""[A-Z]+"")"),"AA")</f>
        <v>AA</v>
      </c>
      <c r="L347" s="89" t="str">
        <f aca="false">IFERROR(__xludf.dummyfunction("REGEXEXTRACT(ADDRESS(ROW(), 28+$H347), ""[A-Z]+"")"),"AB")</f>
        <v>AB</v>
      </c>
      <c r="M347" s="89" t="str">
        <f aca="false">IFERROR(__xludf.dummyfunction("REGEXEXTRACT(ADDRESS(ROW(), 34+$H347), ""[A-Z]+"")"),"AH")</f>
        <v>AH</v>
      </c>
      <c r="N347" s="89" t="str">
        <f aca="false">IFERROR(__xludf.dummyfunction("REGEXEXTRACT(ADDRESS(ROW(), 37+$H347), ""[A-Z]+"")"),"AK")</f>
        <v>AK</v>
      </c>
      <c r="O347" s="89" t="str">
        <f aca="false">IFERROR(__xludf.dummyfunction("REGEXEXTRACT(ADDRESS(ROW(), 38+$H347), ""[A-Z]+"")"),"AL")</f>
        <v>AL</v>
      </c>
      <c r="P347" s="89" t="str">
        <f aca="false">IFERROR(__xludf.dummyfunction("REGEXEXTRACT(ADDRESS(ROW(), 39+$H347), ""[A-Z]+"")"),"AM")</f>
        <v>AM</v>
      </c>
      <c r="Q347" s="89" t="str">
        <f aca="false">IFERROR(__xludf.dummyfunction("REGEXEXTRACT(ADDRESS(ROW(), 40+$H347), ""[A-Z]+"")"),"AN")</f>
        <v>AN</v>
      </c>
      <c r="R347" s="89" t="n">
        <f aca="false">IFERROR(__xludf.dummyfunction("IFERROR(QUERY(INDIRECT(""'""&amp;$F347&amp;""'!C3:""&amp;Q347&amp;""""), ""SELECT ""&amp;I347&amp;"", ""&amp;J347&amp;"", ""&amp;K347&amp;"", ""&amp;L347&amp;"", ""&amp;M347&amp;"", ""&amp;N347&amp;"", ""&amp;O347&amp;"", ""&amp;P347&amp;"" WHERE '""&amp;B347&amp;""' CONTAINS D"", 0), """")"),17)</f>
        <v>17</v>
      </c>
      <c r="S347" s="89" t="n">
        <f aca="false">IFERROR(__xludf.dummyfunction("""COMPUTED_VALUE"""),18)</f>
        <v>18</v>
      </c>
      <c r="T347" s="89"/>
      <c r="U347" s="89"/>
      <c r="V347" s="89" t="n">
        <f aca="false">IFERROR(__xludf.dummyfunction("""COMPUTED_VALUE"""),9)</f>
        <v>9</v>
      </c>
      <c r="W347" s="89"/>
      <c r="X347" s="89" t="n">
        <f aca="false">IFERROR(__xludf.dummyfunction("""COMPUTED_VALUE"""),40)</f>
        <v>40</v>
      </c>
      <c r="Y347" s="89" t="n">
        <f aca="false">IFERROR(__xludf.dummyfunction("""COMPUTED_VALUE"""),84)</f>
        <v>84</v>
      </c>
    </row>
    <row r="348" customFormat="false" ht="17.9" hidden="false" customHeight="false" outlineLevel="0" collapsed="false">
      <c r="A348" s="85" t="n">
        <v>347</v>
      </c>
      <c r="B348" s="85" t="n">
        <v>372856</v>
      </c>
      <c r="C348" s="86" t="s">
        <v>448</v>
      </c>
      <c r="D348" s="87" t="s">
        <v>81</v>
      </c>
      <c r="E348" s="88" t="str">
        <f aca="false">D348</f>
        <v>P3108</v>
      </c>
      <c r="F348" s="88" t="str">
        <f aca="false">REPLACE(E348, 1, 3, "")</f>
        <v>08</v>
      </c>
      <c r="G348" s="89" t="str">
        <f aca="true">IFERROR(VLOOKUP(B348,INDIRECT("'"&amp;$F348&amp;"'!D3:D"),1,FALSE()), "Not found")</f>
        <v>Not found</v>
      </c>
      <c r="H348" s="89" t="n">
        <f aca="true">INDIRECT("'"&amp;$F348&amp;"'!D1")</f>
        <v>0</v>
      </c>
      <c r="I348" s="89" t="str">
        <f aca="false">IFERROR(__xludf.dummyfunction("REGEXEXTRACT(ADDRESS(ROW(), 19+$H348), ""[A-Z]+"")"),"S")</f>
        <v>S</v>
      </c>
      <c r="J348" s="89" t="str">
        <f aca="false">IFERROR(__xludf.dummyfunction("REGEXEXTRACT(ADDRESS(ROW(), 25+$H348), ""[A-Z]+"")"),"Y")</f>
        <v>Y</v>
      </c>
      <c r="K348" s="89" t="str">
        <f aca="false">IFERROR(__xludf.dummyfunction("REGEXEXTRACT(ADDRESS(ROW(), 27+$H348), ""[A-Z]+"")"),"AA")</f>
        <v>AA</v>
      </c>
      <c r="L348" s="89" t="str">
        <f aca="false">IFERROR(__xludf.dummyfunction("REGEXEXTRACT(ADDRESS(ROW(), 28+$H348), ""[A-Z]+"")"),"AB")</f>
        <v>AB</v>
      </c>
      <c r="M348" s="89" t="str">
        <f aca="false">IFERROR(__xludf.dummyfunction("REGEXEXTRACT(ADDRESS(ROW(), 34+$H348), ""[A-Z]+"")"),"AH")</f>
        <v>AH</v>
      </c>
      <c r="N348" s="89" t="str">
        <f aca="false">IFERROR(__xludf.dummyfunction("REGEXEXTRACT(ADDRESS(ROW(), 37+$H348), ""[A-Z]+"")"),"AK")</f>
        <v>AK</v>
      </c>
      <c r="O348" s="89" t="str">
        <f aca="false">IFERROR(__xludf.dummyfunction("REGEXEXTRACT(ADDRESS(ROW(), 38+$H348), ""[A-Z]+"")"),"AL")</f>
        <v>AL</v>
      </c>
      <c r="P348" s="89" t="str">
        <f aca="false">IFERROR(__xludf.dummyfunction("REGEXEXTRACT(ADDRESS(ROW(), 39+$H348), ""[A-Z]+"")"),"AM")</f>
        <v>AM</v>
      </c>
      <c r="Q348" s="89" t="str">
        <f aca="false">IFERROR(__xludf.dummyfunction("REGEXEXTRACT(ADDRESS(ROW(), 40+$H348), ""[A-Z]+"")"),"AN")</f>
        <v>AN</v>
      </c>
      <c r="R348" s="89" t="n">
        <f aca="false">IFERROR(__xludf.dummyfunction("IFERROR(QUERY(INDIRECT(""'""&amp;$F348&amp;""'!C3:""&amp;Q348&amp;""""), ""SELECT ""&amp;I348&amp;"", ""&amp;J348&amp;"", ""&amp;K348&amp;"", ""&amp;L348&amp;"", ""&amp;M348&amp;"", ""&amp;N348&amp;"", ""&amp;O348&amp;"", ""&amp;P348&amp;"" WHERE '""&amp;B348&amp;""' CONTAINS D"", 0), """")"),19)</f>
        <v>19</v>
      </c>
      <c r="S348" s="89" t="n">
        <f aca="false">IFERROR(__xludf.dummyfunction("""COMPUTED_VALUE"""),19)</f>
        <v>19</v>
      </c>
      <c r="T348" s="89"/>
      <c r="U348" s="89"/>
      <c r="V348" s="89" t="n">
        <f aca="false">IFERROR(__xludf.dummyfunction("""COMPUTED_VALUE"""),6)</f>
        <v>6</v>
      </c>
      <c r="W348" s="89"/>
      <c r="X348" s="89" t="n">
        <f aca="false">IFERROR(__xludf.dummyfunction("""COMPUTED_VALUE"""),40)</f>
        <v>40</v>
      </c>
      <c r="Y348" s="89" t="n">
        <f aca="false">IFERROR(__xludf.dummyfunction("""COMPUTED_VALUE"""),84)</f>
        <v>84</v>
      </c>
    </row>
    <row r="349" customFormat="false" ht="17.9" hidden="false" customHeight="false" outlineLevel="0" collapsed="false">
      <c r="A349" s="85" t="n">
        <v>348</v>
      </c>
      <c r="B349" s="85" t="n">
        <v>472548</v>
      </c>
      <c r="C349" s="86" t="s">
        <v>449</v>
      </c>
      <c r="D349" s="87" t="s">
        <v>127</v>
      </c>
      <c r="E349" s="88" t="str">
        <f aca="false">D349</f>
        <v>P3131</v>
      </c>
      <c r="F349" s="88" t="str">
        <f aca="false">REPLACE(E349, 1, 3, "")</f>
        <v>31</v>
      </c>
      <c r="G349" s="89" t="str">
        <f aca="true">IFERROR(VLOOKUP(B349,INDIRECT("'"&amp;$F349&amp;"'!D3:D"),1,FALSE()), "Not found")</f>
        <v>Not found</v>
      </c>
      <c r="H349" s="89" t="n">
        <f aca="true">INDIRECT("'"&amp;$F349&amp;"'!D1")</f>
        <v>0</v>
      </c>
      <c r="I349" s="89" t="str">
        <f aca="false">IFERROR(__xludf.dummyfunction("REGEXEXTRACT(ADDRESS(ROW(), 19+$H349), ""[A-Z]+"")"),"S")</f>
        <v>S</v>
      </c>
      <c r="J349" s="89" t="str">
        <f aca="false">IFERROR(__xludf.dummyfunction("REGEXEXTRACT(ADDRESS(ROW(), 25+$H349), ""[A-Z]+"")"),"Y")</f>
        <v>Y</v>
      </c>
      <c r="K349" s="89" t="str">
        <f aca="false">IFERROR(__xludf.dummyfunction("REGEXEXTRACT(ADDRESS(ROW(), 27+$H349), ""[A-Z]+"")"),"AA")</f>
        <v>AA</v>
      </c>
      <c r="L349" s="89" t="str">
        <f aca="false">IFERROR(__xludf.dummyfunction("REGEXEXTRACT(ADDRESS(ROW(), 28+$H349), ""[A-Z]+"")"),"AB")</f>
        <v>AB</v>
      </c>
      <c r="M349" s="89" t="str">
        <f aca="false">IFERROR(__xludf.dummyfunction("REGEXEXTRACT(ADDRESS(ROW(), 34+$H349), ""[A-Z]+"")"),"AH")</f>
        <v>AH</v>
      </c>
      <c r="N349" s="89" t="str">
        <f aca="false">IFERROR(__xludf.dummyfunction("REGEXEXTRACT(ADDRESS(ROW(), 37+$H349), ""[A-Z]+"")"),"AK")</f>
        <v>AK</v>
      </c>
      <c r="O349" s="89" t="str">
        <f aca="false">IFERROR(__xludf.dummyfunction("REGEXEXTRACT(ADDRESS(ROW(), 38+$H349), ""[A-Z]+"")"),"AL")</f>
        <v>AL</v>
      </c>
      <c r="P349" s="89" t="str">
        <f aca="false">IFERROR(__xludf.dummyfunction("REGEXEXTRACT(ADDRESS(ROW(), 39+$H349), ""[A-Z]+"")"),"AM")</f>
        <v>AM</v>
      </c>
      <c r="Q349" s="89" t="str">
        <f aca="false">IFERROR(__xludf.dummyfunction("REGEXEXTRACT(ADDRESS(ROW(), 40+$H349), ""[A-Z]+"")"),"AN")</f>
        <v>AN</v>
      </c>
      <c r="R349" s="89" t="n">
        <f aca="false">IFERROR(__xludf.dummyfunction("IFERROR(QUERY(INDIRECT(""'""&amp;$F349&amp;""'!C3:""&amp;Q349&amp;""""), ""SELECT ""&amp;I349&amp;"", ""&amp;J349&amp;"", ""&amp;K349&amp;"", ""&amp;L349&amp;"", ""&amp;M349&amp;"", ""&amp;N349&amp;"", ""&amp;O349&amp;"", ""&amp;P349&amp;"" WHERE '""&amp;B349&amp;""' CONTAINS D"", 0), """")"),18)</f>
        <v>18</v>
      </c>
      <c r="S349" s="89" t="n">
        <f aca="false">IFERROR(__xludf.dummyfunction("""COMPUTED_VALUE"""),15)</f>
        <v>15</v>
      </c>
      <c r="T349" s="89"/>
      <c r="U349" s="89"/>
      <c r="V349" s="89" t="n">
        <f aca="false">IFERROR(__xludf.dummyfunction("""COMPUTED_VALUE"""),9)</f>
        <v>9</v>
      </c>
      <c r="W349" s="89"/>
      <c r="X349" s="89" t="n">
        <f aca="false">IFERROR(__xludf.dummyfunction("""COMPUTED_VALUE"""),40)</f>
        <v>40</v>
      </c>
      <c r="Y349" s="89" t="n">
        <f aca="false">IFERROR(__xludf.dummyfunction("""COMPUTED_VALUE"""),82)</f>
        <v>82</v>
      </c>
    </row>
    <row r="350" customFormat="false" ht="17.9" hidden="false" customHeight="false" outlineLevel="0" collapsed="false">
      <c r="A350" s="85" t="n">
        <v>349</v>
      </c>
      <c r="B350" s="85" t="n">
        <v>467696</v>
      </c>
      <c r="C350" s="86" t="s">
        <v>450</v>
      </c>
      <c r="D350" s="87" t="s">
        <v>83</v>
      </c>
      <c r="E350" s="88" t="str">
        <f aca="false">D350</f>
        <v>P3109</v>
      </c>
      <c r="F350" s="88" t="str">
        <f aca="false">REPLACE(E350, 1, 3, "")</f>
        <v>09</v>
      </c>
      <c r="G350" s="89" t="str">
        <f aca="true">IFERROR(VLOOKUP(B350,INDIRECT("'"&amp;$F350&amp;"'!D3:D"),1,FALSE()), "Not found")</f>
        <v>Not found</v>
      </c>
      <c r="H350" s="89" t="n">
        <f aca="true">INDIRECT("'"&amp;$F350&amp;"'!D1")</f>
        <v>0</v>
      </c>
      <c r="I350" s="89" t="str">
        <f aca="false">IFERROR(__xludf.dummyfunction("REGEXEXTRACT(ADDRESS(ROW(), 19+$H350), ""[A-Z]+"")"),"S")</f>
        <v>S</v>
      </c>
      <c r="J350" s="89" t="str">
        <f aca="false">IFERROR(__xludf.dummyfunction("REGEXEXTRACT(ADDRESS(ROW(), 25+$H350), ""[A-Z]+"")"),"Y")</f>
        <v>Y</v>
      </c>
      <c r="K350" s="89" t="str">
        <f aca="false">IFERROR(__xludf.dummyfunction("REGEXEXTRACT(ADDRESS(ROW(), 27+$H350), ""[A-Z]+"")"),"AA")</f>
        <v>AA</v>
      </c>
      <c r="L350" s="89" t="str">
        <f aca="false">IFERROR(__xludf.dummyfunction("REGEXEXTRACT(ADDRESS(ROW(), 28+$H350), ""[A-Z]+"")"),"AB")</f>
        <v>AB</v>
      </c>
      <c r="M350" s="89" t="str">
        <f aca="false">IFERROR(__xludf.dummyfunction("REGEXEXTRACT(ADDRESS(ROW(), 34+$H350), ""[A-Z]+"")"),"AH")</f>
        <v>AH</v>
      </c>
      <c r="N350" s="89" t="str">
        <f aca="false">IFERROR(__xludf.dummyfunction("REGEXEXTRACT(ADDRESS(ROW(), 37+$H350), ""[A-Z]+"")"),"AK")</f>
        <v>AK</v>
      </c>
      <c r="O350" s="89" t="str">
        <f aca="false">IFERROR(__xludf.dummyfunction("REGEXEXTRACT(ADDRESS(ROW(), 38+$H350), ""[A-Z]+"")"),"AL")</f>
        <v>AL</v>
      </c>
      <c r="P350" s="89" t="str">
        <f aca="false">IFERROR(__xludf.dummyfunction("REGEXEXTRACT(ADDRESS(ROW(), 39+$H350), ""[A-Z]+"")"),"AM")</f>
        <v>AM</v>
      </c>
      <c r="Q350" s="89" t="str">
        <f aca="false">IFERROR(__xludf.dummyfunction("REGEXEXTRACT(ADDRESS(ROW(), 40+$H350), ""[A-Z]+"")"),"AN")</f>
        <v>AN</v>
      </c>
      <c r="R350" s="89" t="n">
        <f aca="false">IFERROR(__xludf.dummyfunction("IFERROR(QUERY(INDIRECT(""'""&amp;$F350&amp;""'!C3:""&amp;Q350&amp;""""), ""SELECT ""&amp;I350&amp;"", ""&amp;J350&amp;"", ""&amp;K350&amp;"", ""&amp;L350&amp;"", ""&amp;M350&amp;"", ""&amp;N350&amp;"", ""&amp;O350&amp;"", ""&amp;P350&amp;"" WHERE '""&amp;B350&amp;""' CONTAINS D"", 0), """")"),15)</f>
        <v>15</v>
      </c>
      <c r="S350" s="89" t="n">
        <f aca="false">IFERROR(__xludf.dummyfunction("""COMPUTED_VALUE"""),18)</f>
        <v>18</v>
      </c>
      <c r="T350" s="89"/>
      <c r="U350" s="89"/>
      <c r="V350" s="89" t="n">
        <f aca="false">IFERROR(__xludf.dummyfunction("""COMPUTED_VALUE"""),10)</f>
        <v>10</v>
      </c>
      <c r="W350" s="89"/>
      <c r="X350" s="89" t="n">
        <f aca="false">IFERROR(__xludf.dummyfunction("""COMPUTED_VALUE"""),40)</f>
        <v>40</v>
      </c>
      <c r="Y350" s="89" t="n">
        <f aca="false">IFERROR(__xludf.dummyfunction("""COMPUTED_VALUE"""),83)</f>
        <v>83</v>
      </c>
    </row>
    <row r="351" customFormat="false" ht="17.9" hidden="false" customHeight="false" outlineLevel="0" collapsed="false">
      <c r="A351" s="85" t="n">
        <v>350</v>
      </c>
      <c r="B351" s="85" t="n">
        <v>467704</v>
      </c>
      <c r="C351" s="86" t="s">
        <v>451</v>
      </c>
      <c r="D351" s="87" t="s">
        <v>102</v>
      </c>
      <c r="E351" s="88" t="str">
        <f aca="false">D351</f>
        <v>P3110</v>
      </c>
      <c r="F351" s="88" t="str">
        <f aca="false">REPLACE(E351, 1, 3, "")</f>
        <v>10</v>
      </c>
      <c r="G351" s="89" t="str">
        <f aca="true">IFERROR(VLOOKUP(B351,INDIRECT("'"&amp;$F351&amp;"'!D3:D"),1,FALSE()), "Not found")</f>
        <v>Not found</v>
      </c>
      <c r="H351" s="89" t="n">
        <f aca="true">INDIRECT("'"&amp;$F351&amp;"'!D1")</f>
        <v>0</v>
      </c>
      <c r="I351" s="89" t="str">
        <f aca="false">IFERROR(__xludf.dummyfunction("REGEXEXTRACT(ADDRESS(ROW(), 19+$H351), ""[A-Z]+"")"),"S")</f>
        <v>S</v>
      </c>
      <c r="J351" s="89" t="str">
        <f aca="false">IFERROR(__xludf.dummyfunction("REGEXEXTRACT(ADDRESS(ROW(), 25+$H351), ""[A-Z]+"")"),"Y")</f>
        <v>Y</v>
      </c>
      <c r="K351" s="89" t="str">
        <f aca="false">IFERROR(__xludf.dummyfunction("REGEXEXTRACT(ADDRESS(ROW(), 27+$H351), ""[A-Z]+"")"),"AA")</f>
        <v>AA</v>
      </c>
      <c r="L351" s="89" t="str">
        <f aca="false">IFERROR(__xludf.dummyfunction("REGEXEXTRACT(ADDRESS(ROW(), 28+$H351), ""[A-Z]+"")"),"AB")</f>
        <v>AB</v>
      </c>
      <c r="M351" s="89" t="str">
        <f aca="false">IFERROR(__xludf.dummyfunction("REGEXEXTRACT(ADDRESS(ROW(), 34+$H351), ""[A-Z]+"")"),"AH")</f>
        <v>AH</v>
      </c>
      <c r="N351" s="89" t="str">
        <f aca="false">IFERROR(__xludf.dummyfunction("REGEXEXTRACT(ADDRESS(ROW(), 37+$H351), ""[A-Z]+"")"),"AK")</f>
        <v>AK</v>
      </c>
      <c r="O351" s="89" t="str">
        <f aca="false">IFERROR(__xludf.dummyfunction("REGEXEXTRACT(ADDRESS(ROW(), 38+$H351), ""[A-Z]+"")"),"AL")</f>
        <v>AL</v>
      </c>
      <c r="P351" s="89" t="str">
        <f aca="false">IFERROR(__xludf.dummyfunction("REGEXEXTRACT(ADDRESS(ROW(), 39+$H351), ""[A-Z]+"")"),"AM")</f>
        <v>AM</v>
      </c>
      <c r="Q351" s="89" t="str">
        <f aca="false">IFERROR(__xludf.dummyfunction("REGEXEXTRACT(ADDRESS(ROW(), 40+$H351), ""[A-Z]+"")"),"AN")</f>
        <v>AN</v>
      </c>
      <c r="R351" s="89" t="str">
        <f aca="false">IFERROR(__xludf.dummyfunction("IFERROR(QUERY(INDIRECT(""'""&amp;$F351&amp;""'!C3:""&amp;Q351&amp;""""), ""SELECT ""&amp;I351&amp;"", ""&amp;J351&amp;"", ""&amp;K351&amp;"", ""&amp;L351&amp;"", ""&amp;M351&amp;"", ""&amp;N351&amp;"", ""&amp;O351&amp;"", ""&amp;P351&amp;"" WHERE '""&amp;B351&amp;""' CONTAINS D"", 0), """")"),"")</f>
        <v/>
      </c>
      <c r="S351" s="89"/>
      <c r="T351" s="89"/>
      <c r="U351" s="89"/>
      <c r="V351" s="89" t="n">
        <f aca="false">IFERROR(__xludf.dummyfunction("""COMPUTED_VALUE"""),0)</f>
        <v>0</v>
      </c>
      <c r="W351" s="89"/>
      <c r="X351" s="89"/>
      <c r="Y351" s="89" t="n">
        <f aca="false">IFERROR(__xludf.dummyfunction("""COMPUTED_VALUE"""),0)</f>
        <v>0</v>
      </c>
    </row>
    <row r="352" customFormat="false" ht="17.9" hidden="false" customHeight="false" outlineLevel="0" collapsed="false">
      <c r="A352" s="85" t="n">
        <v>351</v>
      </c>
      <c r="B352" s="85" t="n">
        <v>467727</v>
      </c>
      <c r="C352" s="86" t="s">
        <v>452</v>
      </c>
      <c r="D352" s="87" t="s">
        <v>91</v>
      </c>
      <c r="E352" s="88" t="str">
        <f aca="false">D352</f>
        <v>P3111</v>
      </c>
      <c r="F352" s="88" t="str">
        <f aca="false">REPLACE(E352, 1, 3, "")</f>
        <v>11</v>
      </c>
      <c r="G352" s="89" t="str">
        <f aca="true">IFERROR(VLOOKUP(B352,INDIRECT("'"&amp;$F352&amp;"'!D3:D"),1,FALSE()), "Not found")</f>
        <v>Not found</v>
      </c>
      <c r="H352" s="89" t="n">
        <f aca="true">INDIRECT("'"&amp;$F352&amp;"'!D1")</f>
        <v>0</v>
      </c>
      <c r="I352" s="89" t="str">
        <f aca="false">IFERROR(__xludf.dummyfunction("REGEXEXTRACT(ADDRESS(ROW(), 19+$H352), ""[A-Z]+"")"),"S")</f>
        <v>S</v>
      </c>
      <c r="J352" s="89" t="str">
        <f aca="false">IFERROR(__xludf.dummyfunction("REGEXEXTRACT(ADDRESS(ROW(), 25+$H352), ""[A-Z]+"")"),"Y")</f>
        <v>Y</v>
      </c>
      <c r="K352" s="89" t="str">
        <f aca="false">IFERROR(__xludf.dummyfunction("REGEXEXTRACT(ADDRESS(ROW(), 27+$H352), ""[A-Z]+"")"),"AA")</f>
        <v>AA</v>
      </c>
      <c r="L352" s="89" t="str">
        <f aca="false">IFERROR(__xludf.dummyfunction("REGEXEXTRACT(ADDRESS(ROW(), 28+$H352), ""[A-Z]+"")"),"AB")</f>
        <v>AB</v>
      </c>
      <c r="M352" s="89" t="str">
        <f aca="false">IFERROR(__xludf.dummyfunction("REGEXEXTRACT(ADDRESS(ROW(), 34+$H352), ""[A-Z]+"")"),"AH")</f>
        <v>AH</v>
      </c>
      <c r="N352" s="89" t="str">
        <f aca="false">IFERROR(__xludf.dummyfunction("REGEXEXTRACT(ADDRESS(ROW(), 37+$H352), ""[A-Z]+"")"),"AK")</f>
        <v>AK</v>
      </c>
      <c r="O352" s="89" t="str">
        <f aca="false">IFERROR(__xludf.dummyfunction("REGEXEXTRACT(ADDRESS(ROW(), 38+$H352), ""[A-Z]+"")"),"AL")</f>
        <v>AL</v>
      </c>
      <c r="P352" s="89" t="str">
        <f aca="false">IFERROR(__xludf.dummyfunction("REGEXEXTRACT(ADDRESS(ROW(), 39+$H352), ""[A-Z]+"")"),"AM")</f>
        <v>AM</v>
      </c>
      <c r="Q352" s="89" t="str">
        <f aca="false">IFERROR(__xludf.dummyfunction("REGEXEXTRACT(ADDRESS(ROW(), 40+$H352), ""[A-Z]+"")"),"AN")</f>
        <v>AN</v>
      </c>
      <c r="R352" s="89" t="n">
        <f aca="false">IFERROR(__xludf.dummyfunction("IFERROR(QUERY(INDIRECT(""'""&amp;$F352&amp;""'!C3:""&amp;Q352&amp;""""), ""SELECT ""&amp;I352&amp;"", ""&amp;J352&amp;"", ""&amp;K352&amp;"", ""&amp;L352&amp;"", ""&amp;M352&amp;"", ""&amp;N352&amp;"", ""&amp;O352&amp;"", ""&amp;P352&amp;"" WHERE '""&amp;B352&amp;""' CONTAINS D"", 0), """")"),18)</f>
        <v>18</v>
      </c>
      <c r="S352" s="89" t="n">
        <f aca="false">IFERROR(__xludf.dummyfunction("""COMPUTED_VALUE"""),20)</f>
        <v>20</v>
      </c>
      <c r="T352" s="89"/>
      <c r="U352" s="89"/>
      <c r="V352" s="89" t="n">
        <f aca="false">IFERROR(__xludf.dummyfunction("""COMPUTED_VALUE"""),10)</f>
        <v>10</v>
      </c>
      <c r="W352" s="89" t="n">
        <f aca="false">IFERROR(__xludf.dummyfunction("""COMPUTED_VALUE"""),3)</f>
        <v>3</v>
      </c>
      <c r="X352" s="89" t="n">
        <f aca="false">IFERROR(__xludf.dummyfunction("""COMPUTED_VALUE"""),40)</f>
        <v>40</v>
      </c>
      <c r="Y352" s="89" t="n">
        <f aca="false">IFERROR(__xludf.dummyfunction("""COMPUTED_VALUE"""),91)</f>
        <v>91</v>
      </c>
    </row>
    <row r="353" customFormat="false" ht="17.9" hidden="false" customHeight="false" outlineLevel="0" collapsed="false">
      <c r="A353" s="85" t="n">
        <v>352</v>
      </c>
      <c r="B353" s="85" t="n">
        <v>467731</v>
      </c>
      <c r="C353" s="86" t="s">
        <v>453</v>
      </c>
      <c r="D353" s="87" t="s">
        <v>100</v>
      </c>
      <c r="E353" s="88" t="str">
        <f aca="false">D353</f>
        <v>P3112</v>
      </c>
      <c r="F353" s="88" t="str">
        <f aca="false">REPLACE(E353, 1, 3, "")</f>
        <v>12</v>
      </c>
      <c r="G353" s="89" t="str">
        <f aca="true">IFERROR(VLOOKUP(B353,INDIRECT("'"&amp;$F353&amp;"'!D3:D"),1,FALSE()), "Not found")</f>
        <v>Not found</v>
      </c>
      <c r="H353" s="89" t="n">
        <f aca="true">INDIRECT("'"&amp;$F353&amp;"'!D1")</f>
        <v>0</v>
      </c>
      <c r="I353" s="89" t="str">
        <f aca="false">IFERROR(__xludf.dummyfunction("REGEXEXTRACT(ADDRESS(ROW(), 19+$H353), ""[A-Z]+"")"),"S")</f>
        <v>S</v>
      </c>
      <c r="J353" s="89" t="str">
        <f aca="false">IFERROR(__xludf.dummyfunction("REGEXEXTRACT(ADDRESS(ROW(), 25+$H353), ""[A-Z]+"")"),"Y")</f>
        <v>Y</v>
      </c>
      <c r="K353" s="89" t="str">
        <f aca="false">IFERROR(__xludf.dummyfunction("REGEXEXTRACT(ADDRESS(ROW(), 27+$H353), ""[A-Z]+"")"),"AA")</f>
        <v>AA</v>
      </c>
      <c r="L353" s="89" t="str">
        <f aca="false">IFERROR(__xludf.dummyfunction("REGEXEXTRACT(ADDRESS(ROW(), 28+$H353), ""[A-Z]+"")"),"AB")</f>
        <v>AB</v>
      </c>
      <c r="M353" s="89" t="str">
        <f aca="false">IFERROR(__xludf.dummyfunction("REGEXEXTRACT(ADDRESS(ROW(), 34+$H353), ""[A-Z]+"")"),"AH")</f>
        <v>AH</v>
      </c>
      <c r="N353" s="89" t="str">
        <f aca="false">IFERROR(__xludf.dummyfunction("REGEXEXTRACT(ADDRESS(ROW(), 37+$H353), ""[A-Z]+"")"),"AK")</f>
        <v>AK</v>
      </c>
      <c r="O353" s="89" t="str">
        <f aca="false">IFERROR(__xludf.dummyfunction("REGEXEXTRACT(ADDRESS(ROW(), 38+$H353), ""[A-Z]+"")"),"AL")</f>
        <v>AL</v>
      </c>
      <c r="P353" s="89" t="str">
        <f aca="false">IFERROR(__xludf.dummyfunction("REGEXEXTRACT(ADDRESS(ROW(), 39+$H353), ""[A-Z]+"")"),"AM")</f>
        <v>AM</v>
      </c>
      <c r="Q353" s="89" t="str">
        <f aca="false">IFERROR(__xludf.dummyfunction("REGEXEXTRACT(ADDRESS(ROW(), 40+$H353), ""[A-Z]+"")"),"AN")</f>
        <v>AN</v>
      </c>
      <c r="R353" s="89" t="n">
        <f aca="false">IFERROR(__xludf.dummyfunction("IFERROR(QUERY(INDIRECT(""'""&amp;$F353&amp;""'!C3:""&amp;Q353&amp;""""), ""SELECT ""&amp;I353&amp;"", ""&amp;J353&amp;"", ""&amp;K353&amp;"", ""&amp;L353&amp;"", ""&amp;M353&amp;"", ""&amp;N353&amp;"", ""&amp;O353&amp;"", ""&amp;P353&amp;"" WHERE '""&amp;B353&amp;""' CONTAINS D"", 0), """")"),20)</f>
        <v>20</v>
      </c>
      <c r="S353" s="89" t="n">
        <f aca="false">IFERROR(__xludf.dummyfunction("""COMPUTED_VALUE"""),19)</f>
        <v>19</v>
      </c>
      <c r="T353" s="89"/>
      <c r="U353" s="89"/>
      <c r="V353" s="89" t="n">
        <f aca="false">IFERROR(__xludf.dummyfunction("""COMPUTED_VALUE"""),7)</f>
        <v>7</v>
      </c>
      <c r="W353" s="89"/>
      <c r="X353" s="89" t="n">
        <f aca="false">IFERROR(__xludf.dummyfunction("""COMPUTED_VALUE"""),40)</f>
        <v>40</v>
      </c>
      <c r="Y353" s="89" t="n">
        <f aca="false">IFERROR(__xludf.dummyfunction("""COMPUTED_VALUE"""),86)</f>
        <v>86</v>
      </c>
    </row>
    <row r="354" customFormat="false" ht="17.9" hidden="false" customHeight="false" outlineLevel="0" collapsed="false">
      <c r="A354" s="85" t="n">
        <v>353</v>
      </c>
      <c r="B354" s="85" t="n">
        <v>467738</v>
      </c>
      <c r="C354" s="86" t="s">
        <v>454</v>
      </c>
      <c r="D354" s="87" t="s">
        <v>93</v>
      </c>
      <c r="E354" s="88" t="str">
        <f aca="false">D354</f>
        <v>P3114</v>
      </c>
      <c r="F354" s="88" t="str">
        <f aca="false">REPLACE(E354, 1, 3, "")</f>
        <v>14</v>
      </c>
      <c r="G354" s="89" t="str">
        <f aca="true">IFERROR(VLOOKUP(B354,INDIRECT("'"&amp;$F354&amp;"'!D3:D"),1,FALSE()), "Not found")</f>
        <v>Not found</v>
      </c>
      <c r="H354" s="89" t="n">
        <f aca="true">INDIRECT("'"&amp;$F354&amp;"'!D1")</f>
        <v>0</v>
      </c>
      <c r="I354" s="89" t="str">
        <f aca="false">IFERROR(__xludf.dummyfunction("REGEXEXTRACT(ADDRESS(ROW(), 19+$H354), ""[A-Z]+"")"),"S")</f>
        <v>S</v>
      </c>
      <c r="J354" s="89" t="str">
        <f aca="false">IFERROR(__xludf.dummyfunction("REGEXEXTRACT(ADDRESS(ROW(), 25+$H354), ""[A-Z]+"")"),"Y")</f>
        <v>Y</v>
      </c>
      <c r="K354" s="89" t="str">
        <f aca="false">IFERROR(__xludf.dummyfunction("REGEXEXTRACT(ADDRESS(ROW(), 27+$H354), ""[A-Z]+"")"),"AA")</f>
        <v>AA</v>
      </c>
      <c r="L354" s="89" t="str">
        <f aca="false">IFERROR(__xludf.dummyfunction("REGEXEXTRACT(ADDRESS(ROW(), 28+$H354), ""[A-Z]+"")"),"AB")</f>
        <v>AB</v>
      </c>
      <c r="M354" s="89" t="str">
        <f aca="false">IFERROR(__xludf.dummyfunction("REGEXEXTRACT(ADDRESS(ROW(), 34+$H354), ""[A-Z]+"")"),"AH")</f>
        <v>AH</v>
      </c>
      <c r="N354" s="89" t="str">
        <f aca="false">IFERROR(__xludf.dummyfunction("REGEXEXTRACT(ADDRESS(ROW(), 37+$H354), ""[A-Z]+"")"),"AK")</f>
        <v>AK</v>
      </c>
      <c r="O354" s="89" t="str">
        <f aca="false">IFERROR(__xludf.dummyfunction("REGEXEXTRACT(ADDRESS(ROW(), 38+$H354), ""[A-Z]+"")"),"AL")</f>
        <v>AL</v>
      </c>
      <c r="P354" s="89" t="str">
        <f aca="false">IFERROR(__xludf.dummyfunction("REGEXEXTRACT(ADDRESS(ROW(), 39+$H354), ""[A-Z]+"")"),"AM")</f>
        <v>AM</v>
      </c>
      <c r="Q354" s="89" t="str">
        <f aca="false">IFERROR(__xludf.dummyfunction("REGEXEXTRACT(ADDRESS(ROW(), 40+$H354), ""[A-Z]+"")"),"AN")</f>
        <v>AN</v>
      </c>
      <c r="R354" s="89" t="n">
        <f aca="false">IFERROR(__xludf.dummyfunction("IFERROR(QUERY(INDIRECT(""'""&amp;$F354&amp;""'!C3:""&amp;Q354&amp;""""), ""SELECT ""&amp;I354&amp;"", ""&amp;J354&amp;"", ""&amp;K354&amp;"", ""&amp;L354&amp;"", ""&amp;M354&amp;"", ""&amp;N354&amp;"", ""&amp;O354&amp;"", ""&amp;P354&amp;"" WHERE '""&amp;B354&amp;""' CONTAINS D"", 0), """")"),15)</f>
        <v>15</v>
      </c>
      <c r="S354" s="89" t="n">
        <f aca="false">IFERROR(__xludf.dummyfunction("""COMPUTED_VALUE"""),12)</f>
        <v>12</v>
      </c>
      <c r="T354" s="89"/>
      <c r="U354" s="89"/>
      <c r="V354" s="89" t="n">
        <f aca="false">IFERROR(__xludf.dummyfunction("""COMPUTED_VALUE"""),10)</f>
        <v>10</v>
      </c>
      <c r="W354" s="89"/>
      <c r="X354" s="89" t="n">
        <f aca="false">IFERROR(__xludf.dummyfunction("""COMPUTED_VALUE"""),26)</f>
        <v>26</v>
      </c>
      <c r="Y354" s="89" t="n">
        <f aca="false">IFERROR(__xludf.dummyfunction("""COMPUTED_VALUE"""),63)</f>
        <v>63</v>
      </c>
    </row>
    <row r="355" customFormat="false" ht="17.9" hidden="false" customHeight="false" outlineLevel="0" collapsed="false">
      <c r="A355" s="85" t="n">
        <v>354</v>
      </c>
      <c r="B355" s="85" t="n">
        <v>467740</v>
      </c>
      <c r="C355" s="86" t="s">
        <v>455</v>
      </c>
      <c r="D355" s="87" t="s">
        <v>125</v>
      </c>
      <c r="E355" s="88" t="str">
        <f aca="false">D355</f>
        <v>P3115</v>
      </c>
      <c r="F355" s="88" t="str">
        <f aca="false">REPLACE(E355, 1, 3, "")</f>
        <v>15</v>
      </c>
      <c r="G355" s="89" t="str">
        <f aca="true">IFERROR(VLOOKUP(B355,INDIRECT("'"&amp;$F355&amp;"'!D3:D"),1,FALSE()), "Not found")</f>
        <v>Not found</v>
      </c>
      <c r="H355" s="89" t="n">
        <f aca="true">INDIRECT("'"&amp;$F355&amp;"'!D1")</f>
        <v>1</v>
      </c>
      <c r="I355" s="89" t="str">
        <f aca="false">IFERROR(__xludf.dummyfunction("REGEXEXTRACT(ADDRESS(ROW(), 19+$H355), ""[A-Z]+"")"),"T")</f>
        <v>T</v>
      </c>
      <c r="J355" s="89" t="str">
        <f aca="false">IFERROR(__xludf.dummyfunction("REGEXEXTRACT(ADDRESS(ROW(), 25+$H355), ""[A-Z]+"")"),"Z")</f>
        <v>Z</v>
      </c>
      <c r="K355" s="89" t="str">
        <f aca="false">IFERROR(__xludf.dummyfunction("REGEXEXTRACT(ADDRESS(ROW(), 27+$H355), ""[A-Z]+"")"),"AB")</f>
        <v>AB</v>
      </c>
      <c r="L355" s="89" t="str">
        <f aca="false">IFERROR(__xludf.dummyfunction("REGEXEXTRACT(ADDRESS(ROW(), 28+$H355), ""[A-Z]+"")"),"AC")</f>
        <v>AC</v>
      </c>
      <c r="M355" s="89" t="str">
        <f aca="false">IFERROR(__xludf.dummyfunction("REGEXEXTRACT(ADDRESS(ROW(), 34+$H355), ""[A-Z]+"")"),"AI")</f>
        <v>AI</v>
      </c>
      <c r="N355" s="89" t="str">
        <f aca="false">IFERROR(__xludf.dummyfunction("REGEXEXTRACT(ADDRESS(ROW(), 37+$H355), ""[A-Z]+"")"),"AL")</f>
        <v>AL</v>
      </c>
      <c r="O355" s="89" t="str">
        <f aca="false">IFERROR(__xludf.dummyfunction("REGEXEXTRACT(ADDRESS(ROW(), 38+$H355), ""[A-Z]+"")"),"AM")</f>
        <v>AM</v>
      </c>
      <c r="P355" s="89" t="str">
        <f aca="false">IFERROR(__xludf.dummyfunction("REGEXEXTRACT(ADDRESS(ROW(), 39+$H355), ""[A-Z]+"")"),"AN")</f>
        <v>AN</v>
      </c>
      <c r="Q355" s="89" t="str">
        <f aca="false">IFERROR(__xludf.dummyfunction("REGEXEXTRACT(ADDRESS(ROW(), 40+$H355), ""[A-Z]+"")"),"AO")</f>
        <v>AO</v>
      </c>
      <c r="R355" s="89" t="n">
        <f aca="false">IFERROR(__xludf.dummyfunction("IFERROR(QUERY(INDIRECT(""'""&amp;$F355&amp;""'!C3:""&amp;Q355&amp;""""), ""SELECT ""&amp;I355&amp;"", ""&amp;J355&amp;"", ""&amp;K355&amp;"", ""&amp;L355&amp;"", ""&amp;M355&amp;"", ""&amp;N355&amp;"", ""&amp;O355&amp;"", ""&amp;P355&amp;"" WHERE '""&amp;B355&amp;""' CONTAINS D"", 0), """")"),19)</f>
        <v>19</v>
      </c>
      <c r="S355" s="89" t="n">
        <f aca="false">IFERROR(__xludf.dummyfunction("""COMPUTED_VALUE"""),18.5)</f>
        <v>18.5</v>
      </c>
      <c r="T355" s="89"/>
      <c r="U355" s="89"/>
      <c r="V355" s="89" t="n">
        <f aca="false">IFERROR(__xludf.dummyfunction("""COMPUTED_VALUE"""),10)</f>
        <v>10</v>
      </c>
      <c r="W355" s="89"/>
      <c r="X355" s="89" t="n">
        <f aca="false">IFERROR(__xludf.dummyfunction("""COMPUTED_VALUE"""),40)</f>
        <v>40</v>
      </c>
      <c r="Y355" s="89" t="n">
        <f aca="false">IFERROR(__xludf.dummyfunction("""COMPUTED_VALUE"""),87.5)</f>
        <v>87.5</v>
      </c>
    </row>
    <row r="356" customFormat="false" ht="17.9" hidden="false" customHeight="false" outlineLevel="0" collapsed="false">
      <c r="A356" s="85" t="n">
        <v>355</v>
      </c>
      <c r="B356" s="85" t="n">
        <v>467742</v>
      </c>
      <c r="C356" s="86" t="s">
        <v>456</v>
      </c>
      <c r="D356" s="87" t="s">
        <v>89</v>
      </c>
      <c r="E356" s="88" t="str">
        <f aca="false">D356</f>
        <v>P3119</v>
      </c>
      <c r="F356" s="88" t="str">
        <f aca="false">REPLACE(E356, 1, 3, "")</f>
        <v>19</v>
      </c>
      <c r="G356" s="89" t="str">
        <f aca="true">IFERROR(VLOOKUP(B356,INDIRECT("'"&amp;$F356&amp;"'!D3:D"),1,FALSE()), "Not found")</f>
        <v>Not found</v>
      </c>
      <c r="H356" s="89" t="n">
        <f aca="true">INDIRECT("'"&amp;$F356&amp;"'!D1")</f>
        <v>0</v>
      </c>
      <c r="I356" s="89" t="str">
        <f aca="false">IFERROR(__xludf.dummyfunction("REGEXEXTRACT(ADDRESS(ROW(), 19+$H356), ""[A-Z]+"")"),"S")</f>
        <v>S</v>
      </c>
      <c r="J356" s="89" t="str">
        <f aca="false">IFERROR(__xludf.dummyfunction("REGEXEXTRACT(ADDRESS(ROW(), 25+$H356), ""[A-Z]+"")"),"Y")</f>
        <v>Y</v>
      </c>
      <c r="K356" s="89" t="str">
        <f aca="false">IFERROR(__xludf.dummyfunction("REGEXEXTRACT(ADDRESS(ROW(), 27+$H356), ""[A-Z]+"")"),"AA")</f>
        <v>AA</v>
      </c>
      <c r="L356" s="89" t="str">
        <f aca="false">IFERROR(__xludf.dummyfunction("REGEXEXTRACT(ADDRESS(ROW(), 28+$H356), ""[A-Z]+"")"),"AB")</f>
        <v>AB</v>
      </c>
      <c r="M356" s="89" t="str">
        <f aca="false">IFERROR(__xludf.dummyfunction("REGEXEXTRACT(ADDRESS(ROW(), 34+$H356), ""[A-Z]+"")"),"AH")</f>
        <v>AH</v>
      </c>
      <c r="N356" s="89" t="str">
        <f aca="false">IFERROR(__xludf.dummyfunction("REGEXEXTRACT(ADDRESS(ROW(), 37+$H356), ""[A-Z]+"")"),"AK")</f>
        <v>AK</v>
      </c>
      <c r="O356" s="89" t="str">
        <f aca="false">IFERROR(__xludf.dummyfunction("REGEXEXTRACT(ADDRESS(ROW(), 38+$H356), ""[A-Z]+"")"),"AL")</f>
        <v>AL</v>
      </c>
      <c r="P356" s="89" t="str">
        <f aca="false">IFERROR(__xludf.dummyfunction("REGEXEXTRACT(ADDRESS(ROW(), 39+$H356), ""[A-Z]+"")"),"AM")</f>
        <v>AM</v>
      </c>
      <c r="Q356" s="89" t="str">
        <f aca="false">IFERROR(__xludf.dummyfunction("REGEXEXTRACT(ADDRESS(ROW(), 40+$H356), ""[A-Z]+"")"),"AN")</f>
        <v>AN</v>
      </c>
      <c r="R356" s="89" t="str">
        <f aca="false">IFERROR(__xludf.dummyfunction("IFERROR(QUERY(INDIRECT(""'""&amp;$F356&amp;""'!C3:""&amp;Q356&amp;""""), ""SELECT ""&amp;I356&amp;"", ""&amp;J356&amp;"", ""&amp;K356&amp;"", ""&amp;L356&amp;"", ""&amp;M356&amp;"", ""&amp;N356&amp;"", ""&amp;O356&amp;"", ""&amp;P356&amp;"" WHERE '""&amp;B356&amp;""' CONTAINS D"", 0), """")"),"")</f>
        <v/>
      </c>
      <c r="S356" s="89" t="n">
        <f aca="false">IFERROR(__xludf.dummyfunction("""COMPUTED_VALUE"""),15.5)</f>
        <v>15.5</v>
      </c>
      <c r="T356" s="89"/>
      <c r="U356" s="89"/>
      <c r="V356" s="89" t="n">
        <f aca="false">IFERROR(__xludf.dummyfunction("""COMPUTED_VALUE"""),8.5)</f>
        <v>8.5</v>
      </c>
      <c r="W356" s="89"/>
      <c r="X356" s="89" t="n">
        <f aca="false">IFERROR(__xludf.dummyfunction("""COMPUTED_VALUE"""),40)</f>
        <v>40</v>
      </c>
      <c r="Y356" s="89" t="n">
        <f aca="false">IFERROR(__xludf.dummyfunction("""COMPUTED_VALUE"""),64)</f>
        <v>64</v>
      </c>
    </row>
    <row r="357" customFormat="false" ht="17.9" hidden="false" customHeight="false" outlineLevel="0" collapsed="false">
      <c r="A357" s="85" t="n">
        <v>356</v>
      </c>
      <c r="B357" s="85" t="n">
        <v>467754</v>
      </c>
      <c r="C357" s="86" t="s">
        <v>457</v>
      </c>
      <c r="D357" s="87" t="s">
        <v>130</v>
      </c>
      <c r="E357" s="88" t="str">
        <f aca="false">D357</f>
        <v>P3117</v>
      </c>
      <c r="F357" s="88" t="str">
        <f aca="false">REPLACE(E357, 1, 3, "")</f>
        <v>17</v>
      </c>
      <c r="G357" s="89" t="str">
        <f aca="true">IFERROR(VLOOKUP(B357,INDIRECT("'"&amp;$F357&amp;"'!D3:D"),1,FALSE()), "Not found")</f>
        <v>Not found</v>
      </c>
      <c r="H357" s="89" t="n">
        <f aca="true">INDIRECT("'"&amp;$F357&amp;"'!D1")</f>
        <v>1</v>
      </c>
      <c r="I357" s="89" t="str">
        <f aca="false">IFERROR(__xludf.dummyfunction("REGEXEXTRACT(ADDRESS(ROW(), 19+$H357), ""[A-Z]+"")"),"T")</f>
        <v>T</v>
      </c>
      <c r="J357" s="89" t="str">
        <f aca="false">IFERROR(__xludf.dummyfunction("REGEXEXTRACT(ADDRESS(ROW(), 25+$H357), ""[A-Z]+"")"),"Z")</f>
        <v>Z</v>
      </c>
      <c r="K357" s="89" t="str">
        <f aca="false">IFERROR(__xludf.dummyfunction("REGEXEXTRACT(ADDRESS(ROW(), 27+$H357), ""[A-Z]+"")"),"AB")</f>
        <v>AB</v>
      </c>
      <c r="L357" s="89" t="str">
        <f aca="false">IFERROR(__xludf.dummyfunction("REGEXEXTRACT(ADDRESS(ROW(), 28+$H357), ""[A-Z]+"")"),"AC")</f>
        <v>AC</v>
      </c>
      <c r="M357" s="89" t="str">
        <f aca="false">IFERROR(__xludf.dummyfunction("REGEXEXTRACT(ADDRESS(ROW(), 34+$H357), ""[A-Z]+"")"),"AI")</f>
        <v>AI</v>
      </c>
      <c r="N357" s="89" t="str">
        <f aca="false">IFERROR(__xludf.dummyfunction("REGEXEXTRACT(ADDRESS(ROW(), 37+$H357), ""[A-Z]+"")"),"AL")</f>
        <v>AL</v>
      </c>
      <c r="O357" s="89" t="str">
        <f aca="false">IFERROR(__xludf.dummyfunction("REGEXEXTRACT(ADDRESS(ROW(), 38+$H357), ""[A-Z]+"")"),"AM")</f>
        <v>AM</v>
      </c>
      <c r="P357" s="89" t="str">
        <f aca="false">IFERROR(__xludf.dummyfunction("REGEXEXTRACT(ADDRESS(ROW(), 39+$H357), ""[A-Z]+"")"),"AN")</f>
        <v>AN</v>
      </c>
      <c r="Q357" s="89" t="str">
        <f aca="false">IFERROR(__xludf.dummyfunction("REGEXEXTRACT(ADDRESS(ROW(), 40+$H357), ""[A-Z]+"")"),"AO")</f>
        <v>AO</v>
      </c>
      <c r="R357" s="89" t="str">
        <f aca="false">IFERROR(__xludf.dummyfunction("IFERROR(QUERY(INDIRECT(""'""&amp;$F357&amp;""'!C3:""&amp;Q357&amp;""""), ""SELECT ""&amp;I357&amp;"", ""&amp;J357&amp;"", ""&amp;K357&amp;"", ""&amp;L357&amp;"", ""&amp;M357&amp;"", ""&amp;N357&amp;"", ""&amp;O357&amp;"", ""&amp;P357&amp;"" WHERE '""&amp;B357&amp;""' CONTAINS D"", 0), """")"),"")</f>
        <v/>
      </c>
      <c r="S357" s="89"/>
      <c r="T357" s="89"/>
      <c r="U357" s="89"/>
      <c r="V357" s="89" t="n">
        <f aca="false">IFERROR(__xludf.dummyfunction("""COMPUTED_VALUE"""),0)</f>
        <v>0</v>
      </c>
      <c r="W357" s="89"/>
      <c r="X357" s="89"/>
      <c r="Y357" s="89" t="n">
        <f aca="false">IFERROR(__xludf.dummyfunction("""COMPUTED_VALUE"""),0)</f>
        <v>0</v>
      </c>
    </row>
    <row r="358" customFormat="false" ht="17.9" hidden="false" customHeight="false" outlineLevel="0" collapsed="false">
      <c r="A358" s="85" t="n">
        <v>357</v>
      </c>
      <c r="B358" s="85" t="n">
        <v>377312</v>
      </c>
      <c r="C358" s="86" t="s">
        <v>458</v>
      </c>
      <c r="D358" s="87" t="s">
        <v>119</v>
      </c>
      <c r="E358" s="88" t="str">
        <f aca="false">D358</f>
        <v>P3121</v>
      </c>
      <c r="F358" s="88" t="str">
        <f aca="false">REPLACE(E358, 1, 3, "")</f>
        <v>21</v>
      </c>
      <c r="G358" s="89" t="str">
        <f aca="true">IFERROR(VLOOKUP(B358,INDIRECT("'"&amp;$F358&amp;"'!D3:D"),1,FALSE()), "Not found")</f>
        <v>Not found</v>
      </c>
      <c r="H358" s="89" t="n">
        <f aca="true">INDIRECT("'"&amp;$F358&amp;"'!D1")</f>
        <v>5</v>
      </c>
      <c r="I358" s="89" t="str">
        <f aca="false">IFERROR(__xludf.dummyfunction("REGEXEXTRACT(ADDRESS(ROW(), 19+$H358), ""[A-Z]+"")"),"X")</f>
        <v>X</v>
      </c>
      <c r="J358" s="89" t="str">
        <f aca="false">IFERROR(__xludf.dummyfunction("REGEXEXTRACT(ADDRESS(ROW(), 25+$H358), ""[A-Z]+"")"),"AD")</f>
        <v>AD</v>
      </c>
      <c r="K358" s="89" t="str">
        <f aca="false">IFERROR(__xludf.dummyfunction("REGEXEXTRACT(ADDRESS(ROW(), 27+$H358), ""[A-Z]+"")"),"AF")</f>
        <v>AF</v>
      </c>
      <c r="L358" s="89" t="str">
        <f aca="false">IFERROR(__xludf.dummyfunction("REGEXEXTRACT(ADDRESS(ROW(), 28+$H358), ""[A-Z]+"")"),"AG")</f>
        <v>AG</v>
      </c>
      <c r="M358" s="89" t="str">
        <f aca="false">IFERROR(__xludf.dummyfunction("REGEXEXTRACT(ADDRESS(ROW(), 34+$H358), ""[A-Z]+"")"),"AM")</f>
        <v>AM</v>
      </c>
      <c r="N358" s="89" t="str">
        <f aca="false">IFERROR(__xludf.dummyfunction("REGEXEXTRACT(ADDRESS(ROW(), 37+$H358), ""[A-Z]+"")"),"AP")</f>
        <v>AP</v>
      </c>
      <c r="O358" s="89" t="str">
        <f aca="false">IFERROR(__xludf.dummyfunction("REGEXEXTRACT(ADDRESS(ROW(), 38+$H358), ""[A-Z]+"")"),"AQ")</f>
        <v>AQ</v>
      </c>
      <c r="P358" s="89" t="str">
        <f aca="false">IFERROR(__xludf.dummyfunction("REGEXEXTRACT(ADDRESS(ROW(), 39+$H358), ""[A-Z]+"")"),"AR")</f>
        <v>AR</v>
      </c>
      <c r="Q358" s="89" t="str">
        <f aca="false">IFERROR(__xludf.dummyfunction("REGEXEXTRACT(ADDRESS(ROW(), 40+$H358), ""[A-Z]+"")"),"AS")</f>
        <v>AS</v>
      </c>
      <c r="R358" s="89" t="str">
        <f aca="false">IFERROR(__xludf.dummyfunction("IFERROR(QUERY(INDIRECT(""'""&amp;$F358&amp;""'!C3:""&amp;Q358&amp;""""), ""SELECT ""&amp;I358&amp;"", ""&amp;J358&amp;"", ""&amp;K358&amp;"", ""&amp;L358&amp;"", ""&amp;M358&amp;"", ""&amp;N358&amp;"", ""&amp;O358&amp;"", ""&amp;P358&amp;"" WHERE '""&amp;B358&amp;""' CONTAINS D"", 0), """")"),"")</f>
        <v/>
      </c>
      <c r="S358" s="89"/>
      <c r="T358" s="89"/>
      <c r="U358" s="89"/>
      <c r="V358" s="89" t="n">
        <f aca="false">IFERROR(__xludf.dummyfunction("""COMPUTED_VALUE"""),0)</f>
        <v>0</v>
      </c>
      <c r="W358" s="89"/>
      <c r="X358" s="89"/>
      <c r="Y358" s="89" t="n">
        <f aca="false">IFERROR(__xludf.dummyfunction("""COMPUTED_VALUE"""),0)</f>
        <v>0</v>
      </c>
    </row>
    <row r="359" customFormat="false" ht="17.9" hidden="false" customHeight="false" outlineLevel="0" collapsed="false">
      <c r="A359" s="85" t="n">
        <v>358</v>
      </c>
      <c r="B359" s="85" t="n">
        <v>467783</v>
      </c>
      <c r="C359" s="86" t="s">
        <v>459</v>
      </c>
      <c r="D359" s="87" t="s">
        <v>127</v>
      </c>
      <c r="E359" s="88" t="str">
        <f aca="false">D359</f>
        <v>P3131</v>
      </c>
      <c r="F359" s="88" t="str">
        <f aca="false">REPLACE(E359, 1, 3, "")</f>
        <v>31</v>
      </c>
      <c r="G359" s="89" t="str">
        <f aca="true">IFERROR(VLOOKUP(B359,INDIRECT("'"&amp;$F359&amp;"'!D3:D"),1,FALSE()), "Not found")</f>
        <v>Not found</v>
      </c>
      <c r="H359" s="89" t="n">
        <f aca="true">INDIRECT("'"&amp;$F359&amp;"'!D1")</f>
        <v>0</v>
      </c>
      <c r="I359" s="89" t="str">
        <f aca="false">IFERROR(__xludf.dummyfunction("REGEXEXTRACT(ADDRESS(ROW(), 19+$H359), ""[A-Z]+"")"),"S")</f>
        <v>S</v>
      </c>
      <c r="J359" s="89" t="str">
        <f aca="false">IFERROR(__xludf.dummyfunction("REGEXEXTRACT(ADDRESS(ROW(), 25+$H359), ""[A-Z]+"")"),"Y")</f>
        <v>Y</v>
      </c>
      <c r="K359" s="89" t="str">
        <f aca="false">IFERROR(__xludf.dummyfunction("REGEXEXTRACT(ADDRESS(ROW(), 27+$H359), ""[A-Z]+"")"),"AA")</f>
        <v>AA</v>
      </c>
      <c r="L359" s="89" t="str">
        <f aca="false">IFERROR(__xludf.dummyfunction("REGEXEXTRACT(ADDRESS(ROW(), 28+$H359), ""[A-Z]+"")"),"AB")</f>
        <v>AB</v>
      </c>
      <c r="M359" s="89" t="str">
        <f aca="false">IFERROR(__xludf.dummyfunction("REGEXEXTRACT(ADDRESS(ROW(), 34+$H359), ""[A-Z]+"")"),"AH")</f>
        <v>AH</v>
      </c>
      <c r="N359" s="89" t="str">
        <f aca="false">IFERROR(__xludf.dummyfunction("REGEXEXTRACT(ADDRESS(ROW(), 37+$H359), ""[A-Z]+"")"),"AK")</f>
        <v>AK</v>
      </c>
      <c r="O359" s="89" t="str">
        <f aca="false">IFERROR(__xludf.dummyfunction("REGEXEXTRACT(ADDRESS(ROW(), 38+$H359), ""[A-Z]+"")"),"AL")</f>
        <v>AL</v>
      </c>
      <c r="P359" s="89" t="str">
        <f aca="false">IFERROR(__xludf.dummyfunction("REGEXEXTRACT(ADDRESS(ROW(), 39+$H359), ""[A-Z]+"")"),"AM")</f>
        <v>AM</v>
      </c>
      <c r="Q359" s="89" t="str">
        <f aca="false">IFERROR(__xludf.dummyfunction("REGEXEXTRACT(ADDRESS(ROW(), 40+$H359), ""[A-Z]+"")"),"AN")</f>
        <v>AN</v>
      </c>
      <c r="R359" s="89" t="n">
        <f aca="false">IFERROR(__xludf.dummyfunction("IFERROR(QUERY(INDIRECT(""'""&amp;$F359&amp;""'!C3:""&amp;Q359&amp;""""), ""SELECT ""&amp;I359&amp;"", ""&amp;J359&amp;"", ""&amp;K359&amp;"", ""&amp;L359&amp;"", ""&amp;M359&amp;"", ""&amp;N359&amp;"", ""&amp;O359&amp;"", ""&amp;P359&amp;"" WHERE '""&amp;B359&amp;""' CONTAINS D"", 0), """")"),19)</f>
        <v>19</v>
      </c>
      <c r="S359" s="89" t="n">
        <f aca="false">IFERROR(__xludf.dummyfunction("""COMPUTED_VALUE"""),18)</f>
        <v>18</v>
      </c>
      <c r="T359" s="89"/>
      <c r="U359" s="89"/>
      <c r="V359" s="89" t="n">
        <f aca="false">IFERROR(__xludf.dummyfunction("""COMPUTED_VALUE"""),7)</f>
        <v>7</v>
      </c>
      <c r="W359" s="89"/>
      <c r="X359" s="89" t="n">
        <f aca="false">IFERROR(__xludf.dummyfunction("""COMPUTED_VALUE"""),40)</f>
        <v>40</v>
      </c>
      <c r="Y359" s="89" t="n">
        <f aca="false">IFERROR(__xludf.dummyfunction("""COMPUTED_VALUE"""),84)</f>
        <v>84</v>
      </c>
    </row>
    <row r="360" customFormat="false" ht="17.9" hidden="false" customHeight="false" outlineLevel="0" collapsed="false">
      <c r="A360" s="85" t="n">
        <v>359</v>
      </c>
      <c r="B360" s="85" t="n">
        <v>463226</v>
      </c>
      <c r="C360" s="86" t="s">
        <v>460</v>
      </c>
      <c r="D360" s="87" t="s">
        <v>85</v>
      </c>
      <c r="E360" s="88" t="str">
        <f aca="false">D360</f>
        <v>P3132</v>
      </c>
      <c r="F360" s="88" t="str">
        <f aca="false">REPLACE(E360, 1, 3, "")</f>
        <v>32</v>
      </c>
      <c r="G360" s="89" t="str">
        <f aca="true">IFERROR(VLOOKUP(B360,INDIRECT("'"&amp;$F360&amp;"'!D3:D"),1,FALSE()), "Not found")</f>
        <v>Not found</v>
      </c>
      <c r="H360" s="89" t="n">
        <f aca="true">INDIRECT("'"&amp;$F360&amp;"'!D1")</f>
        <v>0</v>
      </c>
      <c r="I360" s="89" t="str">
        <f aca="false">IFERROR(__xludf.dummyfunction("REGEXEXTRACT(ADDRESS(ROW(), 19+$H360), ""[A-Z]+"")"),"S")</f>
        <v>S</v>
      </c>
      <c r="J360" s="89" t="str">
        <f aca="false">IFERROR(__xludf.dummyfunction("REGEXEXTRACT(ADDRESS(ROW(), 25+$H360), ""[A-Z]+"")"),"Y")</f>
        <v>Y</v>
      </c>
      <c r="K360" s="89" t="str">
        <f aca="false">IFERROR(__xludf.dummyfunction("REGEXEXTRACT(ADDRESS(ROW(), 27+$H360), ""[A-Z]+"")"),"AA")</f>
        <v>AA</v>
      </c>
      <c r="L360" s="89" t="str">
        <f aca="false">IFERROR(__xludf.dummyfunction("REGEXEXTRACT(ADDRESS(ROW(), 28+$H360), ""[A-Z]+"")"),"AB")</f>
        <v>AB</v>
      </c>
      <c r="M360" s="89" t="str">
        <f aca="false">IFERROR(__xludf.dummyfunction("REGEXEXTRACT(ADDRESS(ROW(), 34+$H360), ""[A-Z]+"")"),"AH")</f>
        <v>AH</v>
      </c>
      <c r="N360" s="89" t="str">
        <f aca="false">IFERROR(__xludf.dummyfunction("REGEXEXTRACT(ADDRESS(ROW(), 37+$H360), ""[A-Z]+"")"),"AK")</f>
        <v>AK</v>
      </c>
      <c r="O360" s="89" t="str">
        <f aca="false">IFERROR(__xludf.dummyfunction("REGEXEXTRACT(ADDRESS(ROW(), 38+$H360), ""[A-Z]+"")"),"AL")</f>
        <v>AL</v>
      </c>
      <c r="P360" s="89" t="str">
        <f aca="false">IFERROR(__xludf.dummyfunction("REGEXEXTRACT(ADDRESS(ROW(), 39+$H360), ""[A-Z]+"")"),"AM")</f>
        <v>AM</v>
      </c>
      <c r="Q360" s="89" t="str">
        <f aca="false">IFERROR(__xludf.dummyfunction("REGEXEXTRACT(ADDRESS(ROW(), 40+$H360), ""[A-Z]+"")"),"AN")</f>
        <v>AN</v>
      </c>
      <c r="R360" s="89" t="n">
        <f aca="false">IFERROR(__xludf.dummyfunction("IFERROR(QUERY(INDIRECT(""'""&amp;$F360&amp;""'!C3:""&amp;Q360&amp;""""), ""SELECT ""&amp;I360&amp;"", ""&amp;J360&amp;"", ""&amp;K360&amp;"", ""&amp;L360&amp;"", ""&amp;M360&amp;"", ""&amp;N360&amp;"", ""&amp;O360&amp;"", ""&amp;P360&amp;"" WHERE '""&amp;B360&amp;""' CONTAINS D"", 0), """")"),16)</f>
        <v>16</v>
      </c>
      <c r="S360" s="89" t="n">
        <f aca="false">IFERROR(__xludf.dummyfunction("""COMPUTED_VALUE"""),16)</f>
        <v>16</v>
      </c>
      <c r="T360" s="89"/>
      <c r="U360" s="89"/>
      <c r="V360" s="89" t="n">
        <f aca="false">IFERROR(__xludf.dummyfunction("""COMPUTED_VALUE"""),6)</f>
        <v>6</v>
      </c>
      <c r="W360" s="89"/>
      <c r="X360" s="89" t="n">
        <f aca="false">IFERROR(__xludf.dummyfunction("""COMPUTED_VALUE"""),24)</f>
        <v>24</v>
      </c>
      <c r="Y360" s="89" t="n">
        <f aca="false">IFERROR(__xludf.dummyfunction("""COMPUTED_VALUE"""),62)</f>
        <v>62</v>
      </c>
    </row>
    <row r="361" customFormat="false" ht="17.9" hidden="false" customHeight="false" outlineLevel="0" collapsed="false">
      <c r="A361" s="85" t="n">
        <v>360</v>
      </c>
      <c r="B361" s="85" t="n">
        <v>467802</v>
      </c>
      <c r="C361" s="86" t="s">
        <v>461</v>
      </c>
      <c r="D361" s="87" t="s">
        <v>139</v>
      </c>
      <c r="E361" s="88" t="str">
        <f aca="false">D361</f>
        <v>P3118</v>
      </c>
      <c r="F361" s="88" t="str">
        <f aca="false">REPLACE(E361, 1, 3, "")</f>
        <v>18</v>
      </c>
      <c r="G361" s="89" t="str">
        <f aca="true">IFERROR(VLOOKUP(B361,INDIRECT("'"&amp;$F361&amp;"'!D3:D"),1,FALSE()), "Not found")</f>
        <v>Not found</v>
      </c>
      <c r="H361" s="89" t="n">
        <f aca="true">INDIRECT("'"&amp;$F361&amp;"'!D1")</f>
        <v>0</v>
      </c>
      <c r="I361" s="89" t="str">
        <f aca="false">IFERROR(__xludf.dummyfunction("REGEXEXTRACT(ADDRESS(ROW(), 19+$H361), ""[A-Z]+"")"),"S")</f>
        <v>S</v>
      </c>
      <c r="J361" s="89" t="str">
        <f aca="false">IFERROR(__xludf.dummyfunction("REGEXEXTRACT(ADDRESS(ROW(), 25+$H361), ""[A-Z]+"")"),"Y")</f>
        <v>Y</v>
      </c>
      <c r="K361" s="89" t="str">
        <f aca="false">IFERROR(__xludf.dummyfunction("REGEXEXTRACT(ADDRESS(ROW(), 27+$H361), ""[A-Z]+"")"),"AA")</f>
        <v>AA</v>
      </c>
      <c r="L361" s="89" t="str">
        <f aca="false">IFERROR(__xludf.dummyfunction("REGEXEXTRACT(ADDRESS(ROW(), 28+$H361), ""[A-Z]+"")"),"AB")</f>
        <v>AB</v>
      </c>
      <c r="M361" s="89" t="str">
        <f aca="false">IFERROR(__xludf.dummyfunction("REGEXEXTRACT(ADDRESS(ROW(), 34+$H361), ""[A-Z]+"")"),"AH")</f>
        <v>AH</v>
      </c>
      <c r="N361" s="89" t="str">
        <f aca="false">IFERROR(__xludf.dummyfunction("REGEXEXTRACT(ADDRESS(ROW(), 37+$H361), ""[A-Z]+"")"),"AK")</f>
        <v>AK</v>
      </c>
      <c r="O361" s="89" t="str">
        <f aca="false">IFERROR(__xludf.dummyfunction("REGEXEXTRACT(ADDRESS(ROW(), 38+$H361), ""[A-Z]+"")"),"AL")</f>
        <v>AL</v>
      </c>
      <c r="P361" s="89" t="str">
        <f aca="false">IFERROR(__xludf.dummyfunction("REGEXEXTRACT(ADDRESS(ROW(), 39+$H361), ""[A-Z]+"")"),"AM")</f>
        <v>AM</v>
      </c>
      <c r="Q361" s="89" t="str">
        <f aca="false">IFERROR(__xludf.dummyfunction("REGEXEXTRACT(ADDRESS(ROW(), 40+$H361), ""[A-Z]+"")"),"AN")</f>
        <v>AN</v>
      </c>
      <c r="R361" s="89" t="n">
        <f aca="false">IFERROR(__xludf.dummyfunction("IFERROR(QUERY(INDIRECT(""'""&amp;$F361&amp;""'!C3:""&amp;Q361&amp;""""), ""SELECT ""&amp;I361&amp;"", ""&amp;J361&amp;"", ""&amp;K361&amp;"", ""&amp;L361&amp;"", ""&amp;M361&amp;"", ""&amp;N361&amp;"", ""&amp;O361&amp;"", ""&amp;P361&amp;"" WHERE '""&amp;B361&amp;""' CONTAINS D"", 0), """")"),18.5)</f>
        <v>18.5</v>
      </c>
      <c r="S361" s="89" t="n">
        <f aca="false">IFERROR(__xludf.dummyfunction("""COMPUTED_VALUE"""),17.2)</f>
        <v>17.2</v>
      </c>
      <c r="T361" s="89"/>
      <c r="U361" s="89"/>
      <c r="V361" s="89" t="n">
        <f aca="false">IFERROR(__xludf.dummyfunction("""COMPUTED_VALUE"""),6)</f>
        <v>6</v>
      </c>
      <c r="W361" s="89"/>
      <c r="X361" s="89" t="n">
        <f aca="false">IFERROR(__xludf.dummyfunction("""COMPUTED_VALUE"""),34)</f>
        <v>34</v>
      </c>
      <c r="Y361" s="89" t="n">
        <f aca="false">IFERROR(__xludf.dummyfunction("""COMPUTED_VALUE"""),75.7)</f>
        <v>75.7</v>
      </c>
    </row>
    <row r="362" customFormat="false" ht="17.9" hidden="false" customHeight="false" outlineLevel="0" collapsed="false">
      <c r="A362" s="85" t="n">
        <v>361</v>
      </c>
      <c r="B362" s="85" t="n">
        <v>467830</v>
      </c>
      <c r="C362" s="86" t="s">
        <v>462</v>
      </c>
      <c r="D362" s="87" t="s">
        <v>83</v>
      </c>
      <c r="E362" s="88" t="str">
        <f aca="false">D362</f>
        <v>P3109</v>
      </c>
      <c r="F362" s="88" t="str">
        <f aca="false">REPLACE(E362, 1, 3, "")</f>
        <v>09</v>
      </c>
      <c r="G362" s="89" t="str">
        <f aca="true">IFERROR(VLOOKUP(B362,INDIRECT("'"&amp;$F362&amp;"'!D3:D"),1,FALSE()), "Not found")</f>
        <v>Not found</v>
      </c>
      <c r="H362" s="89" t="n">
        <f aca="true">INDIRECT("'"&amp;$F362&amp;"'!D1")</f>
        <v>0</v>
      </c>
      <c r="I362" s="89" t="str">
        <f aca="false">IFERROR(__xludf.dummyfunction("REGEXEXTRACT(ADDRESS(ROW(), 19+$H362), ""[A-Z]+"")"),"S")</f>
        <v>S</v>
      </c>
      <c r="J362" s="89" t="str">
        <f aca="false">IFERROR(__xludf.dummyfunction("REGEXEXTRACT(ADDRESS(ROW(), 25+$H362), ""[A-Z]+"")"),"Y")</f>
        <v>Y</v>
      </c>
      <c r="K362" s="89" t="str">
        <f aca="false">IFERROR(__xludf.dummyfunction("REGEXEXTRACT(ADDRESS(ROW(), 27+$H362), ""[A-Z]+"")"),"AA")</f>
        <v>AA</v>
      </c>
      <c r="L362" s="89" t="str">
        <f aca="false">IFERROR(__xludf.dummyfunction("REGEXEXTRACT(ADDRESS(ROW(), 28+$H362), ""[A-Z]+"")"),"AB")</f>
        <v>AB</v>
      </c>
      <c r="M362" s="89" t="str">
        <f aca="false">IFERROR(__xludf.dummyfunction("REGEXEXTRACT(ADDRESS(ROW(), 34+$H362), ""[A-Z]+"")"),"AH")</f>
        <v>AH</v>
      </c>
      <c r="N362" s="89" t="str">
        <f aca="false">IFERROR(__xludf.dummyfunction("REGEXEXTRACT(ADDRESS(ROW(), 37+$H362), ""[A-Z]+"")"),"AK")</f>
        <v>AK</v>
      </c>
      <c r="O362" s="89" t="str">
        <f aca="false">IFERROR(__xludf.dummyfunction("REGEXEXTRACT(ADDRESS(ROW(), 38+$H362), ""[A-Z]+"")"),"AL")</f>
        <v>AL</v>
      </c>
      <c r="P362" s="89" t="str">
        <f aca="false">IFERROR(__xludf.dummyfunction("REGEXEXTRACT(ADDRESS(ROW(), 39+$H362), ""[A-Z]+"")"),"AM")</f>
        <v>AM</v>
      </c>
      <c r="Q362" s="89" t="str">
        <f aca="false">IFERROR(__xludf.dummyfunction("REGEXEXTRACT(ADDRESS(ROW(), 40+$H362), ""[A-Z]+"")"),"AN")</f>
        <v>AN</v>
      </c>
      <c r="R362" s="89" t="n">
        <f aca="false">IFERROR(__xludf.dummyfunction("IFERROR(QUERY(INDIRECT(""'""&amp;$F362&amp;""'!C3:""&amp;Q362&amp;""""), ""SELECT ""&amp;I362&amp;"", ""&amp;J362&amp;"", ""&amp;K362&amp;"", ""&amp;L362&amp;"", ""&amp;M362&amp;"", ""&amp;N362&amp;"", ""&amp;O362&amp;"", ""&amp;P362&amp;"" WHERE '""&amp;B362&amp;""' CONTAINS D"", 0), """")"),17.1)</f>
        <v>17.1</v>
      </c>
      <c r="S362" s="89" t="n">
        <f aca="false">IFERROR(__xludf.dummyfunction("""COMPUTED_VALUE"""),16)</f>
        <v>16</v>
      </c>
      <c r="T362" s="89"/>
      <c r="U362" s="89"/>
      <c r="V362" s="89" t="n">
        <f aca="false">IFERROR(__xludf.dummyfunction("""COMPUTED_VALUE"""),10)</f>
        <v>10</v>
      </c>
      <c r="W362" s="89"/>
      <c r="X362" s="89" t="n">
        <f aca="false">IFERROR(__xludf.dummyfunction("""COMPUTED_VALUE"""),25)</f>
        <v>25</v>
      </c>
      <c r="Y362" s="89" t="n">
        <f aca="false">IFERROR(__xludf.dummyfunction("""COMPUTED_VALUE"""),68.1)</f>
        <v>68.1</v>
      </c>
    </row>
    <row r="363" customFormat="false" ht="17.9" hidden="false" customHeight="false" outlineLevel="0" collapsed="false">
      <c r="A363" s="85" t="n">
        <v>362</v>
      </c>
      <c r="B363" s="85" t="n">
        <v>463227</v>
      </c>
      <c r="C363" s="86" t="s">
        <v>463</v>
      </c>
      <c r="D363" s="87" t="s">
        <v>119</v>
      </c>
      <c r="E363" s="88" t="str">
        <f aca="false">D363</f>
        <v>P3121</v>
      </c>
      <c r="F363" s="88" t="str">
        <f aca="false">REPLACE(E363, 1, 3, "")</f>
        <v>21</v>
      </c>
      <c r="G363" s="89" t="str">
        <f aca="true">IFERROR(VLOOKUP(B363,INDIRECT("'"&amp;$F363&amp;"'!D3:D"),1,FALSE()), "Not found")</f>
        <v>Not found</v>
      </c>
      <c r="H363" s="89" t="n">
        <f aca="true">INDIRECT("'"&amp;$F363&amp;"'!D1")</f>
        <v>5</v>
      </c>
      <c r="I363" s="89" t="str">
        <f aca="false">IFERROR(__xludf.dummyfunction("REGEXEXTRACT(ADDRESS(ROW(), 19+$H363), ""[A-Z]+"")"),"X")</f>
        <v>X</v>
      </c>
      <c r="J363" s="89" t="str">
        <f aca="false">IFERROR(__xludf.dummyfunction("REGEXEXTRACT(ADDRESS(ROW(), 25+$H363), ""[A-Z]+"")"),"AD")</f>
        <v>AD</v>
      </c>
      <c r="K363" s="89" t="str">
        <f aca="false">IFERROR(__xludf.dummyfunction("REGEXEXTRACT(ADDRESS(ROW(), 27+$H363), ""[A-Z]+"")"),"AF")</f>
        <v>AF</v>
      </c>
      <c r="L363" s="89" t="str">
        <f aca="false">IFERROR(__xludf.dummyfunction("REGEXEXTRACT(ADDRESS(ROW(), 28+$H363), ""[A-Z]+"")"),"AG")</f>
        <v>AG</v>
      </c>
      <c r="M363" s="89" t="str">
        <f aca="false">IFERROR(__xludf.dummyfunction("REGEXEXTRACT(ADDRESS(ROW(), 34+$H363), ""[A-Z]+"")"),"AM")</f>
        <v>AM</v>
      </c>
      <c r="N363" s="89" t="str">
        <f aca="false">IFERROR(__xludf.dummyfunction("REGEXEXTRACT(ADDRESS(ROW(), 37+$H363), ""[A-Z]+"")"),"AP")</f>
        <v>AP</v>
      </c>
      <c r="O363" s="89" t="str">
        <f aca="false">IFERROR(__xludf.dummyfunction("REGEXEXTRACT(ADDRESS(ROW(), 38+$H363), ""[A-Z]+"")"),"AQ")</f>
        <v>AQ</v>
      </c>
      <c r="P363" s="89" t="str">
        <f aca="false">IFERROR(__xludf.dummyfunction("REGEXEXTRACT(ADDRESS(ROW(), 39+$H363), ""[A-Z]+"")"),"AR")</f>
        <v>AR</v>
      </c>
      <c r="Q363" s="89" t="str">
        <f aca="false">IFERROR(__xludf.dummyfunction("REGEXEXTRACT(ADDRESS(ROW(), 40+$H363), ""[A-Z]+"")"),"AS")</f>
        <v>AS</v>
      </c>
      <c r="R363" s="89" t="n">
        <f aca="false">IFERROR(__xludf.dummyfunction("IFERROR(QUERY(INDIRECT(""'""&amp;$F363&amp;""'!C3:""&amp;Q363&amp;""""), ""SELECT ""&amp;I363&amp;"", ""&amp;J363&amp;"", ""&amp;K363&amp;"", ""&amp;L363&amp;"", ""&amp;M363&amp;"", ""&amp;N363&amp;"", ""&amp;O363&amp;"", ""&amp;P363&amp;"" WHERE '""&amp;B363&amp;""' CONTAINS D"", 0), """")"),17)</f>
        <v>17</v>
      </c>
      <c r="S363" s="89" t="n">
        <f aca="false">IFERROR(__xludf.dummyfunction("""COMPUTED_VALUE"""),19)</f>
        <v>19</v>
      </c>
      <c r="T363" s="89"/>
      <c r="U363" s="89"/>
      <c r="V363" s="89" t="n">
        <f aca="false">IFERROR(__xludf.dummyfunction("""COMPUTED_VALUE"""),10)</f>
        <v>10</v>
      </c>
      <c r="W363" s="89"/>
      <c r="X363" s="89" t="n">
        <f aca="false">IFERROR(__xludf.dummyfunction("""COMPUTED_VALUE"""),40)</f>
        <v>40</v>
      </c>
      <c r="Y363" s="89" t="n">
        <f aca="false">IFERROR(__xludf.dummyfunction("""COMPUTED_VALUE"""),86)</f>
        <v>86</v>
      </c>
    </row>
    <row r="364" customFormat="false" ht="17.9" hidden="false" customHeight="false" outlineLevel="0" collapsed="false">
      <c r="A364" s="85" t="n">
        <v>363</v>
      </c>
      <c r="B364" s="85" t="n">
        <v>467846</v>
      </c>
      <c r="C364" s="86" t="s">
        <v>464</v>
      </c>
      <c r="D364" s="87" t="s">
        <v>95</v>
      </c>
      <c r="E364" s="88" t="str">
        <f aca="false">D364</f>
        <v>P3106</v>
      </c>
      <c r="F364" s="88" t="str">
        <f aca="false">REPLACE(E364, 1, 3, "")</f>
        <v>06</v>
      </c>
      <c r="G364" s="89" t="str">
        <f aca="true">IFERROR(VLOOKUP(B364,INDIRECT("'"&amp;$F364&amp;"'!D3:D"),1,FALSE()), "Not found")</f>
        <v>Not found</v>
      </c>
      <c r="H364" s="89" t="n">
        <f aca="true">INDIRECT("'"&amp;$F364&amp;"'!D1")</f>
        <v>0</v>
      </c>
      <c r="I364" s="89" t="str">
        <f aca="false">IFERROR(__xludf.dummyfunction("REGEXEXTRACT(ADDRESS(ROW(), 19+$H364), ""[A-Z]+"")"),"S")</f>
        <v>S</v>
      </c>
      <c r="J364" s="89" t="str">
        <f aca="false">IFERROR(__xludf.dummyfunction("REGEXEXTRACT(ADDRESS(ROW(), 25+$H364), ""[A-Z]+"")"),"Y")</f>
        <v>Y</v>
      </c>
      <c r="K364" s="89" t="str">
        <f aca="false">IFERROR(__xludf.dummyfunction("REGEXEXTRACT(ADDRESS(ROW(), 27+$H364), ""[A-Z]+"")"),"AA")</f>
        <v>AA</v>
      </c>
      <c r="L364" s="89" t="str">
        <f aca="false">IFERROR(__xludf.dummyfunction("REGEXEXTRACT(ADDRESS(ROW(), 28+$H364), ""[A-Z]+"")"),"AB")</f>
        <v>AB</v>
      </c>
      <c r="M364" s="89" t="str">
        <f aca="false">IFERROR(__xludf.dummyfunction("REGEXEXTRACT(ADDRESS(ROW(), 34+$H364), ""[A-Z]+"")"),"AH")</f>
        <v>AH</v>
      </c>
      <c r="N364" s="89" t="str">
        <f aca="false">IFERROR(__xludf.dummyfunction("REGEXEXTRACT(ADDRESS(ROW(), 37+$H364), ""[A-Z]+"")"),"AK")</f>
        <v>AK</v>
      </c>
      <c r="O364" s="89" t="str">
        <f aca="false">IFERROR(__xludf.dummyfunction("REGEXEXTRACT(ADDRESS(ROW(), 38+$H364), ""[A-Z]+"")"),"AL")</f>
        <v>AL</v>
      </c>
      <c r="P364" s="89" t="str">
        <f aca="false">IFERROR(__xludf.dummyfunction("REGEXEXTRACT(ADDRESS(ROW(), 39+$H364), ""[A-Z]+"")"),"AM")</f>
        <v>AM</v>
      </c>
      <c r="Q364" s="89" t="str">
        <f aca="false">IFERROR(__xludf.dummyfunction("REGEXEXTRACT(ADDRESS(ROW(), 40+$H364), ""[A-Z]+"")"),"AN")</f>
        <v>AN</v>
      </c>
      <c r="R364" s="89" t="n">
        <f aca="false">IFERROR(__xludf.dummyfunction("IFERROR(QUERY(INDIRECT(""'""&amp;$F364&amp;""'!C3:""&amp;Q364&amp;""""), ""SELECT ""&amp;I364&amp;"", ""&amp;J364&amp;"", ""&amp;K364&amp;"", ""&amp;L364&amp;"", ""&amp;M364&amp;"", ""&amp;N364&amp;"", ""&amp;O364&amp;"", ""&amp;P364&amp;"" WHERE '""&amp;B364&amp;""' CONTAINS D"", 0), """")"),19)</f>
        <v>19</v>
      </c>
      <c r="S364" s="89" t="n">
        <f aca="false">IFERROR(__xludf.dummyfunction("""COMPUTED_VALUE"""),18)</f>
        <v>18</v>
      </c>
      <c r="T364" s="89"/>
      <c r="U364" s="89"/>
      <c r="V364" s="89" t="n">
        <f aca="false">IFERROR(__xludf.dummyfunction("""COMPUTED_VALUE"""),9)</f>
        <v>9</v>
      </c>
      <c r="W364" s="89"/>
      <c r="X364" s="89" t="n">
        <f aca="false">IFERROR(__xludf.dummyfunction("""COMPUTED_VALUE"""),40)</f>
        <v>40</v>
      </c>
      <c r="Y364" s="89" t="n">
        <f aca="false">IFERROR(__xludf.dummyfunction("""COMPUTED_VALUE"""),86)</f>
        <v>86</v>
      </c>
    </row>
    <row r="365" customFormat="false" ht="17.9" hidden="false" customHeight="false" outlineLevel="0" collapsed="false">
      <c r="A365" s="85" t="n">
        <v>364</v>
      </c>
      <c r="B365" s="85" t="n">
        <v>467858</v>
      </c>
      <c r="C365" s="86" t="s">
        <v>465</v>
      </c>
      <c r="D365" s="87" t="s">
        <v>89</v>
      </c>
      <c r="E365" s="88" t="str">
        <f aca="false">D365</f>
        <v>P3119</v>
      </c>
      <c r="F365" s="88" t="str">
        <f aca="false">REPLACE(E365, 1, 3, "")</f>
        <v>19</v>
      </c>
      <c r="G365" s="89" t="str">
        <f aca="true">IFERROR(VLOOKUP(B365,INDIRECT("'"&amp;$F365&amp;"'!D3:D"),1,FALSE()), "Not found")</f>
        <v>Not found</v>
      </c>
      <c r="H365" s="89" t="n">
        <f aca="true">INDIRECT("'"&amp;$F365&amp;"'!D1")</f>
        <v>0</v>
      </c>
      <c r="I365" s="89" t="str">
        <f aca="false">IFERROR(__xludf.dummyfunction("REGEXEXTRACT(ADDRESS(ROW(), 19+$H365), ""[A-Z]+"")"),"S")</f>
        <v>S</v>
      </c>
      <c r="J365" s="89" t="str">
        <f aca="false">IFERROR(__xludf.dummyfunction("REGEXEXTRACT(ADDRESS(ROW(), 25+$H365), ""[A-Z]+"")"),"Y")</f>
        <v>Y</v>
      </c>
      <c r="K365" s="89" t="str">
        <f aca="false">IFERROR(__xludf.dummyfunction("REGEXEXTRACT(ADDRESS(ROW(), 27+$H365), ""[A-Z]+"")"),"AA")</f>
        <v>AA</v>
      </c>
      <c r="L365" s="89" t="str">
        <f aca="false">IFERROR(__xludf.dummyfunction("REGEXEXTRACT(ADDRESS(ROW(), 28+$H365), ""[A-Z]+"")"),"AB")</f>
        <v>AB</v>
      </c>
      <c r="M365" s="89" t="str">
        <f aca="false">IFERROR(__xludf.dummyfunction("REGEXEXTRACT(ADDRESS(ROW(), 34+$H365), ""[A-Z]+"")"),"AH")</f>
        <v>AH</v>
      </c>
      <c r="N365" s="89" t="str">
        <f aca="false">IFERROR(__xludf.dummyfunction("REGEXEXTRACT(ADDRESS(ROW(), 37+$H365), ""[A-Z]+"")"),"AK")</f>
        <v>AK</v>
      </c>
      <c r="O365" s="89" t="str">
        <f aca="false">IFERROR(__xludf.dummyfunction("REGEXEXTRACT(ADDRESS(ROW(), 38+$H365), ""[A-Z]+"")"),"AL")</f>
        <v>AL</v>
      </c>
      <c r="P365" s="89" t="str">
        <f aca="false">IFERROR(__xludf.dummyfunction("REGEXEXTRACT(ADDRESS(ROW(), 39+$H365), ""[A-Z]+"")"),"AM")</f>
        <v>AM</v>
      </c>
      <c r="Q365" s="89" t="str">
        <f aca="false">IFERROR(__xludf.dummyfunction("REGEXEXTRACT(ADDRESS(ROW(), 40+$H365), ""[A-Z]+"")"),"AN")</f>
        <v>AN</v>
      </c>
      <c r="R365" s="89" t="n">
        <f aca="false">IFERROR(__xludf.dummyfunction("IFERROR(QUERY(INDIRECT(""'""&amp;$F365&amp;""'!C3:""&amp;Q365&amp;""""), ""SELECT ""&amp;I365&amp;"", ""&amp;J365&amp;"", ""&amp;K365&amp;"", ""&amp;L365&amp;"", ""&amp;M365&amp;"", ""&amp;N365&amp;"", ""&amp;O365&amp;"", ""&amp;P365&amp;"" WHERE '""&amp;B365&amp;""' CONTAINS D"", 0), """")"),16)</f>
        <v>16</v>
      </c>
      <c r="S365" s="89" t="n">
        <f aca="false">IFERROR(__xludf.dummyfunction("""COMPUTED_VALUE"""),14)</f>
        <v>14</v>
      </c>
      <c r="T365" s="89"/>
      <c r="U365" s="89"/>
      <c r="V365" s="89" t="n">
        <f aca="false">IFERROR(__xludf.dummyfunction("""COMPUTED_VALUE"""),6)</f>
        <v>6</v>
      </c>
      <c r="W365" s="89" t="n">
        <f aca="false">IFERROR(__xludf.dummyfunction("""COMPUTED_VALUE"""),1)</f>
        <v>1</v>
      </c>
      <c r="X365" s="89" t="n">
        <f aca="false">IFERROR(__xludf.dummyfunction("""COMPUTED_VALUE"""),39)</f>
        <v>39</v>
      </c>
      <c r="Y365" s="89" t="n">
        <f aca="false">IFERROR(__xludf.dummyfunction("""COMPUTED_VALUE"""),76)</f>
        <v>76</v>
      </c>
    </row>
    <row r="366" customFormat="false" ht="17.9" hidden="false" customHeight="false" outlineLevel="0" collapsed="false">
      <c r="A366" s="85" t="n">
        <v>365</v>
      </c>
      <c r="B366" s="85" t="n">
        <v>467870</v>
      </c>
      <c r="C366" s="86" t="s">
        <v>466</v>
      </c>
      <c r="D366" s="87" t="s">
        <v>119</v>
      </c>
      <c r="E366" s="88" t="str">
        <f aca="false">D366</f>
        <v>P3121</v>
      </c>
      <c r="F366" s="88" t="str">
        <f aca="false">REPLACE(E366, 1, 3, "")</f>
        <v>21</v>
      </c>
      <c r="G366" s="89" t="str">
        <f aca="true">IFERROR(VLOOKUP(B366,INDIRECT("'"&amp;$F366&amp;"'!D3:D"),1,FALSE()), "Not found")</f>
        <v>Not found</v>
      </c>
      <c r="H366" s="89" t="n">
        <f aca="true">INDIRECT("'"&amp;$F366&amp;"'!D1")</f>
        <v>5</v>
      </c>
      <c r="I366" s="89" t="str">
        <f aca="false">IFERROR(__xludf.dummyfunction("REGEXEXTRACT(ADDRESS(ROW(), 19+$H366), ""[A-Z]+"")"),"X")</f>
        <v>X</v>
      </c>
      <c r="J366" s="89" t="str">
        <f aca="false">IFERROR(__xludf.dummyfunction("REGEXEXTRACT(ADDRESS(ROW(), 25+$H366), ""[A-Z]+"")"),"AD")</f>
        <v>AD</v>
      </c>
      <c r="K366" s="89" t="str">
        <f aca="false">IFERROR(__xludf.dummyfunction("REGEXEXTRACT(ADDRESS(ROW(), 27+$H366), ""[A-Z]+"")"),"AF")</f>
        <v>AF</v>
      </c>
      <c r="L366" s="89" t="str">
        <f aca="false">IFERROR(__xludf.dummyfunction("REGEXEXTRACT(ADDRESS(ROW(), 28+$H366), ""[A-Z]+"")"),"AG")</f>
        <v>AG</v>
      </c>
      <c r="M366" s="89" t="str">
        <f aca="false">IFERROR(__xludf.dummyfunction("REGEXEXTRACT(ADDRESS(ROW(), 34+$H366), ""[A-Z]+"")"),"AM")</f>
        <v>AM</v>
      </c>
      <c r="N366" s="89" t="str">
        <f aca="false">IFERROR(__xludf.dummyfunction("REGEXEXTRACT(ADDRESS(ROW(), 37+$H366), ""[A-Z]+"")"),"AP")</f>
        <v>AP</v>
      </c>
      <c r="O366" s="89" t="str">
        <f aca="false">IFERROR(__xludf.dummyfunction("REGEXEXTRACT(ADDRESS(ROW(), 38+$H366), ""[A-Z]+"")"),"AQ")</f>
        <v>AQ</v>
      </c>
      <c r="P366" s="89" t="str">
        <f aca="false">IFERROR(__xludf.dummyfunction("REGEXEXTRACT(ADDRESS(ROW(), 39+$H366), ""[A-Z]+"")"),"AR")</f>
        <v>AR</v>
      </c>
      <c r="Q366" s="89" t="str">
        <f aca="false">IFERROR(__xludf.dummyfunction("REGEXEXTRACT(ADDRESS(ROW(), 40+$H366), ""[A-Z]+"")"),"AS")</f>
        <v>AS</v>
      </c>
      <c r="R366" s="89" t="n">
        <f aca="false">IFERROR(__xludf.dummyfunction("IFERROR(QUERY(INDIRECT(""'""&amp;$F366&amp;""'!C3:""&amp;Q366&amp;""""), ""SELECT ""&amp;I366&amp;"", ""&amp;J366&amp;"", ""&amp;K366&amp;"", ""&amp;L366&amp;"", ""&amp;M366&amp;"", ""&amp;N366&amp;"", ""&amp;O366&amp;"", ""&amp;P366&amp;"" WHERE '""&amp;B366&amp;""' CONTAINS D"", 0), """")"),16)</f>
        <v>16</v>
      </c>
      <c r="S366" s="89" t="n">
        <f aca="false">IFERROR(__xludf.dummyfunction("""COMPUTED_VALUE"""),18)</f>
        <v>18</v>
      </c>
      <c r="T366" s="89"/>
      <c r="U366" s="89"/>
      <c r="V366" s="89" t="n">
        <f aca="false">IFERROR(__xludf.dummyfunction("""COMPUTED_VALUE"""),6)</f>
        <v>6</v>
      </c>
      <c r="W366" s="89"/>
      <c r="X366" s="89" t="n">
        <f aca="false">IFERROR(__xludf.dummyfunction("""COMPUTED_VALUE"""),36)</f>
        <v>36</v>
      </c>
      <c r="Y366" s="89" t="n">
        <f aca="false">IFERROR(__xludf.dummyfunction("""COMPUTED_VALUE"""),76)</f>
        <v>76</v>
      </c>
    </row>
    <row r="367" customFormat="false" ht="17.9" hidden="false" customHeight="false" outlineLevel="0" collapsed="false">
      <c r="A367" s="85" t="n">
        <v>366</v>
      </c>
      <c r="B367" s="85" t="n">
        <v>467871</v>
      </c>
      <c r="C367" s="86" t="s">
        <v>467</v>
      </c>
      <c r="D367" s="87" t="s">
        <v>81</v>
      </c>
      <c r="E367" s="88" t="str">
        <f aca="false">D367</f>
        <v>P3108</v>
      </c>
      <c r="F367" s="88" t="str">
        <f aca="false">REPLACE(E367, 1, 3, "")</f>
        <v>08</v>
      </c>
      <c r="G367" s="89" t="str">
        <f aca="true">IFERROR(VLOOKUP(B367,INDIRECT("'"&amp;$F367&amp;"'!D3:D"),1,FALSE()), "Not found")</f>
        <v>Not found</v>
      </c>
      <c r="H367" s="89" t="n">
        <f aca="true">INDIRECT("'"&amp;$F367&amp;"'!D1")</f>
        <v>0</v>
      </c>
      <c r="I367" s="89" t="str">
        <f aca="false">IFERROR(__xludf.dummyfunction("REGEXEXTRACT(ADDRESS(ROW(), 19+$H367), ""[A-Z]+"")"),"S")</f>
        <v>S</v>
      </c>
      <c r="J367" s="89" t="str">
        <f aca="false">IFERROR(__xludf.dummyfunction("REGEXEXTRACT(ADDRESS(ROW(), 25+$H367), ""[A-Z]+"")"),"Y")</f>
        <v>Y</v>
      </c>
      <c r="K367" s="89" t="str">
        <f aca="false">IFERROR(__xludf.dummyfunction("REGEXEXTRACT(ADDRESS(ROW(), 27+$H367), ""[A-Z]+"")"),"AA")</f>
        <v>AA</v>
      </c>
      <c r="L367" s="89" t="str">
        <f aca="false">IFERROR(__xludf.dummyfunction("REGEXEXTRACT(ADDRESS(ROW(), 28+$H367), ""[A-Z]+"")"),"AB")</f>
        <v>AB</v>
      </c>
      <c r="M367" s="89" t="str">
        <f aca="false">IFERROR(__xludf.dummyfunction("REGEXEXTRACT(ADDRESS(ROW(), 34+$H367), ""[A-Z]+"")"),"AH")</f>
        <v>AH</v>
      </c>
      <c r="N367" s="89" t="str">
        <f aca="false">IFERROR(__xludf.dummyfunction("REGEXEXTRACT(ADDRESS(ROW(), 37+$H367), ""[A-Z]+"")"),"AK")</f>
        <v>AK</v>
      </c>
      <c r="O367" s="89" t="str">
        <f aca="false">IFERROR(__xludf.dummyfunction("REGEXEXTRACT(ADDRESS(ROW(), 38+$H367), ""[A-Z]+"")"),"AL")</f>
        <v>AL</v>
      </c>
      <c r="P367" s="89" t="str">
        <f aca="false">IFERROR(__xludf.dummyfunction("REGEXEXTRACT(ADDRESS(ROW(), 39+$H367), ""[A-Z]+"")"),"AM")</f>
        <v>AM</v>
      </c>
      <c r="Q367" s="89" t="str">
        <f aca="false">IFERROR(__xludf.dummyfunction("REGEXEXTRACT(ADDRESS(ROW(), 40+$H367), ""[A-Z]+"")"),"AN")</f>
        <v>AN</v>
      </c>
      <c r="R367" s="89" t="n">
        <f aca="false">IFERROR(__xludf.dummyfunction("IFERROR(QUERY(INDIRECT(""'""&amp;$F367&amp;""'!C3:""&amp;Q367&amp;""""), ""SELECT ""&amp;I367&amp;"", ""&amp;J367&amp;"", ""&amp;K367&amp;"", ""&amp;L367&amp;"", ""&amp;M367&amp;"", ""&amp;N367&amp;"", ""&amp;O367&amp;"", ""&amp;P367&amp;"" WHERE '""&amp;B367&amp;""' CONTAINS D"", 0), """")"),18)</f>
        <v>18</v>
      </c>
      <c r="S367" s="89" t="n">
        <f aca="false">IFERROR(__xludf.dummyfunction("""COMPUTED_VALUE"""),18)</f>
        <v>18</v>
      </c>
      <c r="T367" s="89"/>
      <c r="U367" s="89"/>
      <c r="V367" s="89" t="n">
        <f aca="false">IFERROR(__xludf.dummyfunction("""COMPUTED_VALUE"""),6)</f>
        <v>6</v>
      </c>
      <c r="W367" s="89"/>
      <c r="X367" s="89" t="n">
        <f aca="false">IFERROR(__xludf.dummyfunction("""COMPUTED_VALUE"""),40)</f>
        <v>40</v>
      </c>
      <c r="Y367" s="89" t="n">
        <f aca="false">IFERROR(__xludf.dummyfunction("""COMPUTED_VALUE"""),82)</f>
        <v>82</v>
      </c>
    </row>
    <row r="368" customFormat="false" ht="17.9" hidden="false" customHeight="false" outlineLevel="0" collapsed="false">
      <c r="A368" s="85" t="n">
        <v>367</v>
      </c>
      <c r="B368" s="85" t="n">
        <v>467883</v>
      </c>
      <c r="C368" s="86" t="s">
        <v>468</v>
      </c>
      <c r="D368" s="87" t="s">
        <v>157</v>
      </c>
      <c r="E368" s="88" t="str">
        <f aca="false">D368</f>
        <v>P3123</v>
      </c>
      <c r="F368" s="88" t="str">
        <f aca="false">REPLACE(E368, 1, 3, "")</f>
        <v>23</v>
      </c>
      <c r="G368" s="89" t="str">
        <f aca="true">IFERROR(VLOOKUP(B368,INDIRECT("'"&amp;$F368&amp;"'!D3:D"),1,FALSE()), "Not found")</f>
        <v>Not found</v>
      </c>
      <c r="H368" s="89" t="n">
        <f aca="true">INDIRECT("'"&amp;$F368&amp;"'!D1")</f>
        <v>1</v>
      </c>
      <c r="I368" s="89" t="str">
        <f aca="false">IFERROR(__xludf.dummyfunction("REGEXEXTRACT(ADDRESS(ROW(), 19+$H368), ""[A-Z]+"")"),"T")</f>
        <v>T</v>
      </c>
      <c r="J368" s="89" t="str">
        <f aca="false">IFERROR(__xludf.dummyfunction("REGEXEXTRACT(ADDRESS(ROW(), 25+$H368), ""[A-Z]+"")"),"Z")</f>
        <v>Z</v>
      </c>
      <c r="K368" s="89" t="str">
        <f aca="false">IFERROR(__xludf.dummyfunction("REGEXEXTRACT(ADDRESS(ROW(), 27+$H368), ""[A-Z]+"")"),"AB")</f>
        <v>AB</v>
      </c>
      <c r="L368" s="89" t="str">
        <f aca="false">IFERROR(__xludf.dummyfunction("REGEXEXTRACT(ADDRESS(ROW(), 28+$H368), ""[A-Z]+"")"),"AC")</f>
        <v>AC</v>
      </c>
      <c r="M368" s="89" t="str">
        <f aca="false">IFERROR(__xludf.dummyfunction("REGEXEXTRACT(ADDRESS(ROW(), 34+$H368), ""[A-Z]+"")"),"AI")</f>
        <v>AI</v>
      </c>
      <c r="N368" s="89" t="str">
        <f aca="false">IFERROR(__xludf.dummyfunction("REGEXEXTRACT(ADDRESS(ROW(), 37+$H368), ""[A-Z]+"")"),"AL")</f>
        <v>AL</v>
      </c>
      <c r="O368" s="89" t="str">
        <f aca="false">IFERROR(__xludf.dummyfunction("REGEXEXTRACT(ADDRESS(ROW(), 38+$H368), ""[A-Z]+"")"),"AM")</f>
        <v>AM</v>
      </c>
      <c r="P368" s="89" t="str">
        <f aca="false">IFERROR(__xludf.dummyfunction("REGEXEXTRACT(ADDRESS(ROW(), 39+$H368), ""[A-Z]+"")"),"AN")</f>
        <v>AN</v>
      </c>
      <c r="Q368" s="89" t="str">
        <f aca="false">IFERROR(__xludf.dummyfunction("REGEXEXTRACT(ADDRESS(ROW(), 40+$H368), ""[A-Z]+"")"),"AO")</f>
        <v>AO</v>
      </c>
      <c r="R368" s="89" t="n">
        <f aca="false">IFERROR(__xludf.dummyfunction("IFERROR(QUERY(INDIRECT(""'""&amp;$F368&amp;""'!C3:""&amp;Q368&amp;""""), ""SELECT ""&amp;I368&amp;"", ""&amp;J368&amp;"", ""&amp;K368&amp;"", ""&amp;L368&amp;"", ""&amp;M368&amp;"", ""&amp;N368&amp;"", ""&amp;O368&amp;"", ""&amp;P368&amp;"" WHERE '""&amp;B368&amp;""' CONTAINS D"", 0), """")"),19.8)</f>
        <v>19.8</v>
      </c>
      <c r="S368" s="89" t="n">
        <f aca="false">IFERROR(__xludf.dummyfunction("""COMPUTED_VALUE"""),18)</f>
        <v>18</v>
      </c>
      <c r="T368" s="89"/>
      <c r="U368" s="89"/>
      <c r="V368" s="89" t="n">
        <f aca="false">IFERROR(__xludf.dummyfunction("""COMPUTED_VALUE"""),6)</f>
        <v>6</v>
      </c>
      <c r="W368" s="89"/>
      <c r="X368" s="89" t="n">
        <f aca="false">IFERROR(__xludf.dummyfunction("""COMPUTED_VALUE"""),32)</f>
        <v>32</v>
      </c>
      <c r="Y368" s="89" t="n">
        <f aca="false">IFERROR(__xludf.dummyfunction("""COMPUTED_VALUE"""),75.8)</f>
        <v>75.8</v>
      </c>
    </row>
    <row r="369" customFormat="false" ht="17.9" hidden="false" customHeight="false" outlineLevel="0" collapsed="false">
      <c r="A369" s="85" t="n">
        <v>368</v>
      </c>
      <c r="B369" s="85" t="n">
        <v>467889</v>
      </c>
      <c r="C369" s="86" t="s">
        <v>469</v>
      </c>
      <c r="D369" s="87" t="s">
        <v>102</v>
      </c>
      <c r="E369" s="88" t="str">
        <f aca="false">D369</f>
        <v>P3110</v>
      </c>
      <c r="F369" s="88" t="str">
        <f aca="false">REPLACE(E369, 1, 3, "")</f>
        <v>10</v>
      </c>
      <c r="G369" s="89" t="str">
        <f aca="true">IFERROR(VLOOKUP(B369,INDIRECT("'"&amp;$F369&amp;"'!D3:D"),1,FALSE()), "Not found")</f>
        <v>Not found</v>
      </c>
      <c r="H369" s="89" t="n">
        <f aca="true">INDIRECT("'"&amp;$F369&amp;"'!D1")</f>
        <v>0</v>
      </c>
      <c r="I369" s="89" t="str">
        <f aca="false">IFERROR(__xludf.dummyfunction("REGEXEXTRACT(ADDRESS(ROW(), 19+$H369), ""[A-Z]+"")"),"S")</f>
        <v>S</v>
      </c>
      <c r="J369" s="89" t="str">
        <f aca="false">IFERROR(__xludf.dummyfunction("REGEXEXTRACT(ADDRESS(ROW(), 25+$H369), ""[A-Z]+"")"),"Y")</f>
        <v>Y</v>
      </c>
      <c r="K369" s="89" t="str">
        <f aca="false">IFERROR(__xludf.dummyfunction("REGEXEXTRACT(ADDRESS(ROW(), 27+$H369), ""[A-Z]+"")"),"AA")</f>
        <v>AA</v>
      </c>
      <c r="L369" s="89" t="str">
        <f aca="false">IFERROR(__xludf.dummyfunction("REGEXEXTRACT(ADDRESS(ROW(), 28+$H369), ""[A-Z]+"")"),"AB")</f>
        <v>AB</v>
      </c>
      <c r="M369" s="89" t="str">
        <f aca="false">IFERROR(__xludf.dummyfunction("REGEXEXTRACT(ADDRESS(ROW(), 34+$H369), ""[A-Z]+"")"),"AH")</f>
        <v>AH</v>
      </c>
      <c r="N369" s="89" t="str">
        <f aca="false">IFERROR(__xludf.dummyfunction("REGEXEXTRACT(ADDRESS(ROW(), 37+$H369), ""[A-Z]+"")"),"AK")</f>
        <v>AK</v>
      </c>
      <c r="O369" s="89" t="str">
        <f aca="false">IFERROR(__xludf.dummyfunction("REGEXEXTRACT(ADDRESS(ROW(), 38+$H369), ""[A-Z]+"")"),"AL")</f>
        <v>AL</v>
      </c>
      <c r="P369" s="89" t="str">
        <f aca="false">IFERROR(__xludf.dummyfunction("REGEXEXTRACT(ADDRESS(ROW(), 39+$H369), ""[A-Z]+"")"),"AM")</f>
        <v>AM</v>
      </c>
      <c r="Q369" s="89" t="str">
        <f aca="false">IFERROR(__xludf.dummyfunction("REGEXEXTRACT(ADDRESS(ROW(), 40+$H369), ""[A-Z]+"")"),"AN")</f>
        <v>AN</v>
      </c>
      <c r="R369" s="89" t="n">
        <f aca="false">IFERROR(__xludf.dummyfunction("IFERROR(QUERY(INDIRECT(""'""&amp;$F369&amp;""'!C3:""&amp;Q369&amp;""""), ""SELECT ""&amp;I369&amp;"", ""&amp;J369&amp;"", ""&amp;K369&amp;"", ""&amp;L369&amp;"", ""&amp;M369&amp;"", ""&amp;N369&amp;"", ""&amp;O369&amp;"", ""&amp;P369&amp;"" WHERE '""&amp;B369&amp;""' CONTAINS D"", 0), """")"),19)</f>
        <v>19</v>
      </c>
      <c r="S369" s="89" t="n">
        <f aca="false">IFERROR(__xludf.dummyfunction("""COMPUTED_VALUE"""),16)</f>
        <v>16</v>
      </c>
      <c r="T369" s="89"/>
      <c r="U369" s="89"/>
      <c r="V369" s="89" t="n">
        <f aca="false">IFERROR(__xludf.dummyfunction("""COMPUTED_VALUE"""),7)</f>
        <v>7</v>
      </c>
      <c r="W369" s="89"/>
      <c r="X369" s="89" t="n">
        <f aca="false">IFERROR(__xludf.dummyfunction("""COMPUTED_VALUE"""),40)</f>
        <v>40</v>
      </c>
      <c r="Y369" s="89" t="n">
        <f aca="false">IFERROR(__xludf.dummyfunction("""COMPUTED_VALUE"""),82)</f>
        <v>82</v>
      </c>
    </row>
    <row r="370" customFormat="false" ht="17.9" hidden="false" customHeight="false" outlineLevel="0" collapsed="false">
      <c r="A370" s="85" t="n">
        <v>369</v>
      </c>
      <c r="B370" s="85" t="n">
        <v>467898</v>
      </c>
      <c r="C370" s="86" t="s">
        <v>470</v>
      </c>
      <c r="D370" s="87" t="s">
        <v>85</v>
      </c>
      <c r="E370" s="88" t="str">
        <f aca="false">D370</f>
        <v>P3132</v>
      </c>
      <c r="F370" s="88" t="str">
        <f aca="false">REPLACE(E370, 1, 3, "")</f>
        <v>32</v>
      </c>
      <c r="G370" s="89" t="str">
        <f aca="true">IFERROR(VLOOKUP(B370,INDIRECT("'"&amp;$F370&amp;"'!D3:D"),1,FALSE()), "Not found")</f>
        <v>Not found</v>
      </c>
      <c r="H370" s="89" t="n">
        <f aca="true">INDIRECT("'"&amp;$F370&amp;"'!D1")</f>
        <v>0</v>
      </c>
      <c r="I370" s="89" t="str">
        <f aca="false">IFERROR(__xludf.dummyfunction("REGEXEXTRACT(ADDRESS(ROW(), 19+$H370), ""[A-Z]+"")"),"S")</f>
        <v>S</v>
      </c>
      <c r="J370" s="89" t="str">
        <f aca="false">IFERROR(__xludf.dummyfunction("REGEXEXTRACT(ADDRESS(ROW(), 25+$H370), ""[A-Z]+"")"),"Y")</f>
        <v>Y</v>
      </c>
      <c r="K370" s="89" t="str">
        <f aca="false">IFERROR(__xludf.dummyfunction("REGEXEXTRACT(ADDRESS(ROW(), 27+$H370), ""[A-Z]+"")"),"AA")</f>
        <v>AA</v>
      </c>
      <c r="L370" s="89" t="str">
        <f aca="false">IFERROR(__xludf.dummyfunction("REGEXEXTRACT(ADDRESS(ROW(), 28+$H370), ""[A-Z]+"")"),"AB")</f>
        <v>AB</v>
      </c>
      <c r="M370" s="89" t="str">
        <f aca="false">IFERROR(__xludf.dummyfunction("REGEXEXTRACT(ADDRESS(ROW(), 34+$H370), ""[A-Z]+"")"),"AH")</f>
        <v>AH</v>
      </c>
      <c r="N370" s="89" t="str">
        <f aca="false">IFERROR(__xludf.dummyfunction("REGEXEXTRACT(ADDRESS(ROW(), 37+$H370), ""[A-Z]+"")"),"AK")</f>
        <v>AK</v>
      </c>
      <c r="O370" s="89" t="str">
        <f aca="false">IFERROR(__xludf.dummyfunction("REGEXEXTRACT(ADDRESS(ROW(), 38+$H370), ""[A-Z]+"")"),"AL")</f>
        <v>AL</v>
      </c>
      <c r="P370" s="89" t="str">
        <f aca="false">IFERROR(__xludf.dummyfunction("REGEXEXTRACT(ADDRESS(ROW(), 39+$H370), ""[A-Z]+"")"),"AM")</f>
        <v>AM</v>
      </c>
      <c r="Q370" s="89" t="str">
        <f aca="false">IFERROR(__xludf.dummyfunction("REGEXEXTRACT(ADDRESS(ROW(), 40+$H370), ""[A-Z]+"")"),"AN")</f>
        <v>AN</v>
      </c>
      <c r="R370" s="89" t="n">
        <f aca="false">IFERROR(__xludf.dummyfunction("IFERROR(QUERY(INDIRECT(""'""&amp;$F370&amp;""'!C3:""&amp;Q370&amp;""""), ""SELECT ""&amp;I370&amp;"", ""&amp;J370&amp;"", ""&amp;K370&amp;"", ""&amp;L370&amp;"", ""&amp;M370&amp;"", ""&amp;N370&amp;"", ""&amp;O370&amp;"", ""&amp;P370&amp;"" WHERE '""&amp;B370&amp;""' CONTAINS D"", 0), """")"),19)</f>
        <v>19</v>
      </c>
      <c r="S370" s="89" t="n">
        <f aca="false">IFERROR(__xludf.dummyfunction("""COMPUTED_VALUE"""),20)</f>
        <v>20</v>
      </c>
      <c r="T370" s="89"/>
      <c r="U370" s="89"/>
      <c r="V370" s="89" t="n">
        <f aca="false">IFERROR(__xludf.dummyfunction("""COMPUTED_VALUE"""),10)</f>
        <v>10</v>
      </c>
      <c r="W370" s="89"/>
      <c r="X370" s="89" t="n">
        <f aca="false">IFERROR(__xludf.dummyfunction("""COMPUTED_VALUE"""),40)</f>
        <v>40</v>
      </c>
      <c r="Y370" s="89" t="n">
        <f aca="false">IFERROR(__xludf.dummyfunction("""COMPUTED_VALUE"""),89)</f>
        <v>89</v>
      </c>
    </row>
    <row r="371" customFormat="false" ht="17.9" hidden="false" customHeight="false" outlineLevel="0" collapsed="false">
      <c r="A371" s="85" t="n">
        <v>370</v>
      </c>
      <c r="B371" s="85" t="n">
        <v>467906</v>
      </c>
      <c r="C371" s="86" t="s">
        <v>471</v>
      </c>
      <c r="D371" s="87" t="s">
        <v>151</v>
      </c>
      <c r="E371" s="88" t="str">
        <f aca="false">D371</f>
        <v>P3122</v>
      </c>
      <c r="F371" s="88" t="str">
        <f aca="false">REPLACE(E371, 1, 3, "")</f>
        <v>22</v>
      </c>
      <c r="G371" s="89" t="str">
        <f aca="true">IFERROR(VLOOKUP(B371,INDIRECT("'"&amp;$F371&amp;"'!D3:D"),1,FALSE()), "Not found")</f>
        <v>Not found</v>
      </c>
      <c r="H371" s="89" t="n">
        <f aca="true">INDIRECT("'"&amp;$F371&amp;"'!D1")</f>
        <v>0</v>
      </c>
      <c r="I371" s="89" t="str">
        <f aca="false">IFERROR(__xludf.dummyfunction("REGEXEXTRACT(ADDRESS(ROW(), 19+$H371), ""[A-Z]+"")"),"S")</f>
        <v>S</v>
      </c>
      <c r="J371" s="89" t="str">
        <f aca="false">IFERROR(__xludf.dummyfunction("REGEXEXTRACT(ADDRESS(ROW(), 25+$H371), ""[A-Z]+"")"),"Y")</f>
        <v>Y</v>
      </c>
      <c r="K371" s="89" t="str">
        <f aca="false">IFERROR(__xludf.dummyfunction("REGEXEXTRACT(ADDRESS(ROW(), 27+$H371), ""[A-Z]+"")"),"AA")</f>
        <v>AA</v>
      </c>
      <c r="L371" s="89" t="str">
        <f aca="false">IFERROR(__xludf.dummyfunction("REGEXEXTRACT(ADDRESS(ROW(), 28+$H371), ""[A-Z]+"")"),"AB")</f>
        <v>AB</v>
      </c>
      <c r="M371" s="89" t="str">
        <f aca="false">IFERROR(__xludf.dummyfunction("REGEXEXTRACT(ADDRESS(ROW(), 34+$H371), ""[A-Z]+"")"),"AH")</f>
        <v>AH</v>
      </c>
      <c r="N371" s="89" t="str">
        <f aca="false">IFERROR(__xludf.dummyfunction("REGEXEXTRACT(ADDRESS(ROW(), 37+$H371), ""[A-Z]+"")"),"AK")</f>
        <v>AK</v>
      </c>
      <c r="O371" s="89" t="str">
        <f aca="false">IFERROR(__xludf.dummyfunction("REGEXEXTRACT(ADDRESS(ROW(), 38+$H371), ""[A-Z]+"")"),"AL")</f>
        <v>AL</v>
      </c>
      <c r="P371" s="89" t="str">
        <f aca="false">IFERROR(__xludf.dummyfunction("REGEXEXTRACT(ADDRESS(ROW(), 39+$H371), ""[A-Z]+"")"),"AM")</f>
        <v>AM</v>
      </c>
      <c r="Q371" s="89" t="str">
        <f aca="false">IFERROR(__xludf.dummyfunction("REGEXEXTRACT(ADDRESS(ROW(), 40+$H371), ""[A-Z]+"")"),"AN")</f>
        <v>AN</v>
      </c>
      <c r="R371" s="89" t="n">
        <f aca="false">IFERROR(__xludf.dummyfunction("IFERROR(QUERY(INDIRECT(""'""&amp;$F371&amp;""'!C3:""&amp;Q371&amp;""""), ""SELECT ""&amp;I371&amp;"", ""&amp;J371&amp;"", ""&amp;K371&amp;"", ""&amp;L371&amp;"", ""&amp;M371&amp;"", ""&amp;N371&amp;"", ""&amp;O371&amp;"", ""&amp;P371&amp;"" WHERE '""&amp;B371&amp;""' CONTAINS D"", 0), """")"),19)</f>
        <v>19</v>
      </c>
      <c r="S371" s="89" t="n">
        <f aca="false">IFERROR(__xludf.dummyfunction("""COMPUTED_VALUE"""),17.5)</f>
        <v>17.5</v>
      </c>
      <c r="T371" s="89"/>
      <c r="U371" s="89"/>
      <c r="V371" s="89" t="n">
        <f aca="false">IFERROR(__xludf.dummyfunction("""COMPUTED_VALUE"""),7)</f>
        <v>7</v>
      </c>
      <c r="W371" s="89"/>
      <c r="X371" s="89" t="n">
        <f aca="false">IFERROR(__xludf.dummyfunction("""COMPUTED_VALUE"""),30)</f>
        <v>30</v>
      </c>
      <c r="Y371" s="89" t="n">
        <f aca="false">IFERROR(__xludf.dummyfunction("""COMPUTED_VALUE"""),73.5)</f>
        <v>73.5</v>
      </c>
    </row>
    <row r="372" customFormat="false" ht="17.9" hidden="false" customHeight="false" outlineLevel="0" collapsed="false">
      <c r="A372" s="85" t="n">
        <v>371</v>
      </c>
      <c r="B372" s="85" t="n">
        <v>312749</v>
      </c>
      <c r="C372" s="86" t="s">
        <v>472</v>
      </c>
      <c r="D372" s="87" t="s">
        <v>139</v>
      </c>
      <c r="E372" s="88" t="str">
        <f aca="false">D372</f>
        <v>P3118</v>
      </c>
      <c r="F372" s="88" t="str">
        <f aca="false">REPLACE(E372, 1, 3, "")</f>
        <v>18</v>
      </c>
      <c r="G372" s="89" t="str">
        <f aca="true">IFERROR(VLOOKUP(B372,INDIRECT("'"&amp;$F372&amp;"'!D3:D"),1,FALSE()), "Not found")</f>
        <v>Not found</v>
      </c>
      <c r="H372" s="89" t="n">
        <f aca="true">INDIRECT("'"&amp;$F372&amp;"'!D1")</f>
        <v>0</v>
      </c>
      <c r="I372" s="89" t="str">
        <f aca="false">IFERROR(__xludf.dummyfunction("REGEXEXTRACT(ADDRESS(ROW(), 19+$H372), ""[A-Z]+"")"),"S")</f>
        <v>S</v>
      </c>
      <c r="J372" s="89" t="str">
        <f aca="false">IFERROR(__xludf.dummyfunction("REGEXEXTRACT(ADDRESS(ROW(), 25+$H372), ""[A-Z]+"")"),"Y")</f>
        <v>Y</v>
      </c>
      <c r="K372" s="89" t="str">
        <f aca="false">IFERROR(__xludf.dummyfunction("REGEXEXTRACT(ADDRESS(ROW(), 27+$H372), ""[A-Z]+"")"),"AA")</f>
        <v>AA</v>
      </c>
      <c r="L372" s="89" t="str">
        <f aca="false">IFERROR(__xludf.dummyfunction("REGEXEXTRACT(ADDRESS(ROW(), 28+$H372), ""[A-Z]+"")"),"AB")</f>
        <v>AB</v>
      </c>
      <c r="M372" s="89" t="str">
        <f aca="false">IFERROR(__xludf.dummyfunction("REGEXEXTRACT(ADDRESS(ROW(), 34+$H372), ""[A-Z]+"")"),"AH")</f>
        <v>AH</v>
      </c>
      <c r="N372" s="89" t="str">
        <f aca="false">IFERROR(__xludf.dummyfunction("REGEXEXTRACT(ADDRESS(ROW(), 37+$H372), ""[A-Z]+"")"),"AK")</f>
        <v>AK</v>
      </c>
      <c r="O372" s="89" t="str">
        <f aca="false">IFERROR(__xludf.dummyfunction("REGEXEXTRACT(ADDRESS(ROW(), 38+$H372), ""[A-Z]+"")"),"AL")</f>
        <v>AL</v>
      </c>
      <c r="P372" s="89" t="str">
        <f aca="false">IFERROR(__xludf.dummyfunction("REGEXEXTRACT(ADDRESS(ROW(), 39+$H372), ""[A-Z]+"")"),"AM")</f>
        <v>AM</v>
      </c>
      <c r="Q372" s="89" t="str">
        <f aca="false">IFERROR(__xludf.dummyfunction("REGEXEXTRACT(ADDRESS(ROW(), 40+$H372), ""[A-Z]+"")"),"AN")</f>
        <v>AN</v>
      </c>
      <c r="R372" s="89" t="n">
        <f aca="false">IFERROR(__xludf.dummyfunction("IFERROR(QUERY(INDIRECT(""'""&amp;$F372&amp;""'!C3:""&amp;Q372&amp;""""), ""SELECT ""&amp;I372&amp;"", ""&amp;J372&amp;"", ""&amp;K372&amp;"", ""&amp;L372&amp;"", ""&amp;M372&amp;"", ""&amp;N372&amp;"", ""&amp;O372&amp;"", ""&amp;P372&amp;"" WHERE '""&amp;B372&amp;""' CONTAINS D"", 0), """")"),19.5)</f>
        <v>19.5</v>
      </c>
      <c r="S372" s="89" t="n">
        <f aca="false">IFERROR(__xludf.dummyfunction("""COMPUTED_VALUE"""),19.7)</f>
        <v>19.7</v>
      </c>
      <c r="T372" s="89"/>
      <c r="U372" s="89"/>
      <c r="V372" s="89" t="n">
        <f aca="false">IFERROR(__xludf.dummyfunction("""COMPUTED_VALUE"""),10)</f>
        <v>10</v>
      </c>
      <c r="W372" s="89"/>
      <c r="X372" s="89" t="n">
        <f aca="false">IFERROR(__xludf.dummyfunction("""COMPUTED_VALUE"""),40)</f>
        <v>40</v>
      </c>
      <c r="Y372" s="89" t="n">
        <f aca="false">IFERROR(__xludf.dummyfunction("""COMPUTED_VALUE"""),89.2)</f>
        <v>89.2</v>
      </c>
    </row>
    <row r="373" customFormat="false" ht="17.9" hidden="false" customHeight="false" outlineLevel="0" collapsed="false">
      <c r="A373" s="85" t="n">
        <v>372</v>
      </c>
      <c r="B373" s="85" t="n">
        <v>467922</v>
      </c>
      <c r="C373" s="86" t="s">
        <v>473</v>
      </c>
      <c r="D373" s="87" t="s">
        <v>95</v>
      </c>
      <c r="E373" s="88" t="str">
        <f aca="false">D373</f>
        <v>P3106</v>
      </c>
      <c r="F373" s="88" t="str">
        <f aca="false">REPLACE(E373, 1, 3, "")</f>
        <v>06</v>
      </c>
      <c r="G373" s="89" t="str">
        <f aca="true">IFERROR(VLOOKUP(B373,INDIRECT("'"&amp;$F373&amp;"'!D3:D"),1,FALSE()), "Not found")</f>
        <v>Not found</v>
      </c>
      <c r="H373" s="89" t="n">
        <f aca="true">INDIRECT("'"&amp;$F373&amp;"'!D1")</f>
        <v>0</v>
      </c>
      <c r="I373" s="89" t="str">
        <f aca="false">IFERROR(__xludf.dummyfunction("REGEXEXTRACT(ADDRESS(ROW(), 19+$H373), ""[A-Z]+"")"),"S")</f>
        <v>S</v>
      </c>
      <c r="J373" s="89" t="str">
        <f aca="false">IFERROR(__xludf.dummyfunction("REGEXEXTRACT(ADDRESS(ROW(), 25+$H373), ""[A-Z]+"")"),"Y")</f>
        <v>Y</v>
      </c>
      <c r="K373" s="89" t="str">
        <f aca="false">IFERROR(__xludf.dummyfunction("REGEXEXTRACT(ADDRESS(ROW(), 27+$H373), ""[A-Z]+"")"),"AA")</f>
        <v>AA</v>
      </c>
      <c r="L373" s="89" t="str">
        <f aca="false">IFERROR(__xludf.dummyfunction("REGEXEXTRACT(ADDRESS(ROW(), 28+$H373), ""[A-Z]+"")"),"AB")</f>
        <v>AB</v>
      </c>
      <c r="M373" s="89" t="str">
        <f aca="false">IFERROR(__xludf.dummyfunction("REGEXEXTRACT(ADDRESS(ROW(), 34+$H373), ""[A-Z]+"")"),"AH")</f>
        <v>AH</v>
      </c>
      <c r="N373" s="89" t="str">
        <f aca="false">IFERROR(__xludf.dummyfunction("REGEXEXTRACT(ADDRESS(ROW(), 37+$H373), ""[A-Z]+"")"),"AK")</f>
        <v>AK</v>
      </c>
      <c r="O373" s="89" t="str">
        <f aca="false">IFERROR(__xludf.dummyfunction("REGEXEXTRACT(ADDRESS(ROW(), 38+$H373), ""[A-Z]+"")"),"AL")</f>
        <v>AL</v>
      </c>
      <c r="P373" s="89" t="str">
        <f aca="false">IFERROR(__xludf.dummyfunction("REGEXEXTRACT(ADDRESS(ROW(), 39+$H373), ""[A-Z]+"")"),"AM")</f>
        <v>AM</v>
      </c>
      <c r="Q373" s="89" t="str">
        <f aca="false">IFERROR(__xludf.dummyfunction("REGEXEXTRACT(ADDRESS(ROW(), 40+$H373), ""[A-Z]+"")"),"AN")</f>
        <v>AN</v>
      </c>
      <c r="R373" s="89" t="n">
        <f aca="false">IFERROR(__xludf.dummyfunction("IFERROR(QUERY(INDIRECT(""'""&amp;$F373&amp;""'!C3:""&amp;Q373&amp;""""), ""SELECT ""&amp;I373&amp;"", ""&amp;J373&amp;"", ""&amp;K373&amp;"", ""&amp;L373&amp;"", ""&amp;M373&amp;"", ""&amp;N373&amp;"", ""&amp;O373&amp;"", ""&amp;P373&amp;"" WHERE '""&amp;B373&amp;""' CONTAINS D"", 0), """")"),18)</f>
        <v>18</v>
      </c>
      <c r="S373" s="89" t="n">
        <f aca="false">IFERROR(__xludf.dummyfunction("""COMPUTED_VALUE"""),19)</f>
        <v>19</v>
      </c>
      <c r="T373" s="89"/>
      <c r="U373" s="89"/>
      <c r="V373" s="89" t="n">
        <f aca="false">IFERROR(__xludf.dummyfunction("""COMPUTED_VALUE"""),10)</f>
        <v>10</v>
      </c>
      <c r="W373" s="89" t="n">
        <f aca="false">IFERROR(__xludf.dummyfunction("""COMPUTED_VALUE"""),3)</f>
        <v>3</v>
      </c>
      <c r="X373" s="89" t="n">
        <f aca="false">IFERROR(__xludf.dummyfunction("""COMPUTED_VALUE"""),40)</f>
        <v>40</v>
      </c>
      <c r="Y373" s="89" t="n">
        <f aca="false">IFERROR(__xludf.dummyfunction("""COMPUTED_VALUE"""),90)</f>
        <v>90</v>
      </c>
    </row>
    <row r="374" customFormat="false" ht="17.9" hidden="false" customHeight="false" outlineLevel="0" collapsed="false">
      <c r="A374" s="85" t="n">
        <v>373</v>
      </c>
      <c r="B374" s="85" t="n">
        <v>415129</v>
      </c>
      <c r="C374" s="86" t="s">
        <v>474</v>
      </c>
      <c r="D374" s="87" t="s">
        <v>85</v>
      </c>
      <c r="E374" s="88" t="str">
        <f aca="false">D374</f>
        <v>P3132</v>
      </c>
      <c r="F374" s="88" t="str">
        <f aca="false">REPLACE(E374, 1, 3, "")</f>
        <v>32</v>
      </c>
      <c r="G374" s="89" t="str">
        <f aca="true">IFERROR(VLOOKUP(B374,INDIRECT("'"&amp;$F374&amp;"'!D3:D"),1,FALSE()), "Not found")</f>
        <v>Not found</v>
      </c>
      <c r="H374" s="89" t="n">
        <f aca="true">INDIRECT("'"&amp;$F374&amp;"'!D1")</f>
        <v>0</v>
      </c>
      <c r="I374" s="89" t="str">
        <f aca="false">IFERROR(__xludf.dummyfunction("REGEXEXTRACT(ADDRESS(ROW(), 19+$H374), ""[A-Z]+"")"),"S")</f>
        <v>S</v>
      </c>
      <c r="J374" s="89" t="str">
        <f aca="false">IFERROR(__xludf.dummyfunction("REGEXEXTRACT(ADDRESS(ROW(), 25+$H374), ""[A-Z]+"")"),"Y")</f>
        <v>Y</v>
      </c>
      <c r="K374" s="89" t="str">
        <f aca="false">IFERROR(__xludf.dummyfunction("REGEXEXTRACT(ADDRESS(ROW(), 27+$H374), ""[A-Z]+"")"),"AA")</f>
        <v>AA</v>
      </c>
      <c r="L374" s="89" t="str">
        <f aca="false">IFERROR(__xludf.dummyfunction("REGEXEXTRACT(ADDRESS(ROW(), 28+$H374), ""[A-Z]+"")"),"AB")</f>
        <v>AB</v>
      </c>
      <c r="M374" s="89" t="str">
        <f aca="false">IFERROR(__xludf.dummyfunction("REGEXEXTRACT(ADDRESS(ROW(), 34+$H374), ""[A-Z]+"")"),"AH")</f>
        <v>AH</v>
      </c>
      <c r="N374" s="89" t="str">
        <f aca="false">IFERROR(__xludf.dummyfunction("REGEXEXTRACT(ADDRESS(ROW(), 37+$H374), ""[A-Z]+"")"),"AK")</f>
        <v>AK</v>
      </c>
      <c r="O374" s="89" t="str">
        <f aca="false">IFERROR(__xludf.dummyfunction("REGEXEXTRACT(ADDRESS(ROW(), 38+$H374), ""[A-Z]+"")"),"AL")</f>
        <v>AL</v>
      </c>
      <c r="P374" s="89" t="str">
        <f aca="false">IFERROR(__xludf.dummyfunction("REGEXEXTRACT(ADDRESS(ROW(), 39+$H374), ""[A-Z]+"")"),"AM")</f>
        <v>AM</v>
      </c>
      <c r="Q374" s="89" t="str">
        <f aca="false">IFERROR(__xludf.dummyfunction("REGEXEXTRACT(ADDRESS(ROW(), 40+$H374), ""[A-Z]+"")"),"AN")</f>
        <v>AN</v>
      </c>
      <c r="R374" s="89" t="n">
        <f aca="false">IFERROR(__xludf.dummyfunction("IFERROR(QUERY(INDIRECT(""'""&amp;$F374&amp;""'!C3:""&amp;Q374&amp;""""), ""SELECT ""&amp;I374&amp;"", ""&amp;J374&amp;"", ""&amp;K374&amp;"", ""&amp;L374&amp;"", ""&amp;M374&amp;"", ""&amp;N374&amp;"", ""&amp;O374&amp;"", ""&amp;P374&amp;"" WHERE '""&amp;B374&amp;""' CONTAINS D"", 0), """")"),19)</f>
        <v>19</v>
      </c>
      <c r="S374" s="89" t="n">
        <f aca="false">IFERROR(__xludf.dummyfunction("""COMPUTED_VALUE"""),20)</f>
        <v>20</v>
      </c>
      <c r="T374" s="89"/>
      <c r="U374" s="89"/>
      <c r="V374" s="89" t="n">
        <f aca="false">IFERROR(__xludf.dummyfunction("""COMPUTED_VALUE"""),9)</f>
        <v>9</v>
      </c>
      <c r="W374" s="89"/>
      <c r="X374" s="89" t="n">
        <f aca="false">IFERROR(__xludf.dummyfunction("""COMPUTED_VALUE"""),40)</f>
        <v>40</v>
      </c>
      <c r="Y374" s="89" t="n">
        <f aca="false">IFERROR(__xludf.dummyfunction("""COMPUTED_VALUE"""),88)</f>
        <v>88</v>
      </c>
    </row>
    <row r="375" customFormat="false" ht="17.9" hidden="false" customHeight="false" outlineLevel="0" collapsed="false">
      <c r="A375" s="85" t="n">
        <v>374</v>
      </c>
      <c r="B375" s="85" t="n">
        <v>467937</v>
      </c>
      <c r="C375" s="86" t="s">
        <v>475</v>
      </c>
      <c r="D375" s="87" t="s">
        <v>183</v>
      </c>
      <c r="E375" s="88" t="str">
        <f aca="false">D375</f>
        <v>P3107</v>
      </c>
      <c r="F375" s="88" t="str">
        <f aca="false">REPLACE(E375, 1, 3, "")</f>
        <v>07</v>
      </c>
      <c r="G375" s="89" t="str">
        <f aca="true">IFERROR(VLOOKUP(B375,INDIRECT("'"&amp;$F375&amp;"'!D3:D"),1,FALSE()), "Not found")</f>
        <v>Not found</v>
      </c>
      <c r="H375" s="89" t="n">
        <f aca="true">INDIRECT("'"&amp;$F375&amp;"'!D1")</f>
        <v>0</v>
      </c>
      <c r="I375" s="89" t="str">
        <f aca="false">IFERROR(__xludf.dummyfunction("REGEXEXTRACT(ADDRESS(ROW(), 19+$H375), ""[A-Z]+"")"),"S")</f>
        <v>S</v>
      </c>
      <c r="J375" s="89" t="str">
        <f aca="false">IFERROR(__xludf.dummyfunction("REGEXEXTRACT(ADDRESS(ROW(), 25+$H375), ""[A-Z]+"")"),"Y")</f>
        <v>Y</v>
      </c>
      <c r="K375" s="89" t="str">
        <f aca="false">IFERROR(__xludf.dummyfunction("REGEXEXTRACT(ADDRESS(ROW(), 27+$H375), ""[A-Z]+"")"),"AA")</f>
        <v>AA</v>
      </c>
      <c r="L375" s="89" t="str">
        <f aca="false">IFERROR(__xludf.dummyfunction("REGEXEXTRACT(ADDRESS(ROW(), 28+$H375), ""[A-Z]+"")"),"AB")</f>
        <v>AB</v>
      </c>
      <c r="M375" s="89" t="str">
        <f aca="false">IFERROR(__xludf.dummyfunction("REGEXEXTRACT(ADDRESS(ROW(), 34+$H375), ""[A-Z]+"")"),"AH")</f>
        <v>AH</v>
      </c>
      <c r="N375" s="89" t="str">
        <f aca="false">IFERROR(__xludf.dummyfunction("REGEXEXTRACT(ADDRESS(ROW(), 37+$H375), ""[A-Z]+"")"),"AK")</f>
        <v>AK</v>
      </c>
      <c r="O375" s="89" t="str">
        <f aca="false">IFERROR(__xludf.dummyfunction("REGEXEXTRACT(ADDRESS(ROW(), 38+$H375), ""[A-Z]+"")"),"AL")</f>
        <v>AL</v>
      </c>
      <c r="P375" s="89" t="str">
        <f aca="false">IFERROR(__xludf.dummyfunction("REGEXEXTRACT(ADDRESS(ROW(), 39+$H375), ""[A-Z]+"")"),"AM")</f>
        <v>AM</v>
      </c>
      <c r="Q375" s="89" t="str">
        <f aca="false">IFERROR(__xludf.dummyfunction("REGEXEXTRACT(ADDRESS(ROW(), 40+$H375), ""[A-Z]+"")"),"AN")</f>
        <v>AN</v>
      </c>
      <c r="R375" s="89" t="n">
        <f aca="false">IFERROR(__xludf.dummyfunction("IFERROR(QUERY(INDIRECT(""'""&amp;$F375&amp;""'!C3:""&amp;Q375&amp;""""), ""SELECT ""&amp;I375&amp;"", ""&amp;J375&amp;"", ""&amp;K375&amp;"", ""&amp;L375&amp;"", ""&amp;M375&amp;"", ""&amp;N375&amp;"", ""&amp;O375&amp;"", ""&amp;P375&amp;"" WHERE '""&amp;B375&amp;""' CONTAINS D"", 0), """")"),20)</f>
        <v>20</v>
      </c>
      <c r="S375" s="89" t="n">
        <f aca="false">IFERROR(__xludf.dummyfunction("""COMPUTED_VALUE"""),20)</f>
        <v>20</v>
      </c>
      <c r="T375" s="89"/>
      <c r="U375" s="89"/>
      <c r="V375" s="89" t="n">
        <f aca="false">IFERROR(__xludf.dummyfunction("""COMPUTED_VALUE"""),10)</f>
        <v>10</v>
      </c>
      <c r="W375" s="89"/>
      <c r="X375" s="89" t="n">
        <f aca="false">IFERROR(__xludf.dummyfunction("""COMPUTED_VALUE"""),40)</f>
        <v>40</v>
      </c>
      <c r="Y375" s="89" t="n">
        <f aca="false">IFERROR(__xludf.dummyfunction("""COMPUTED_VALUE"""),90)</f>
        <v>90</v>
      </c>
    </row>
    <row r="376" customFormat="false" ht="17.9" hidden="false" customHeight="false" outlineLevel="0" collapsed="false">
      <c r="A376" s="85" t="n">
        <v>375</v>
      </c>
      <c r="B376" s="85" t="n">
        <v>467944</v>
      </c>
      <c r="C376" s="86" t="s">
        <v>476</v>
      </c>
      <c r="D376" s="87" t="s">
        <v>125</v>
      </c>
      <c r="E376" s="88" t="str">
        <f aca="false">D376</f>
        <v>P3115</v>
      </c>
      <c r="F376" s="88" t="str">
        <f aca="false">REPLACE(E376, 1, 3, "")</f>
        <v>15</v>
      </c>
      <c r="G376" s="89" t="str">
        <f aca="true">IFERROR(VLOOKUP(B376,INDIRECT("'"&amp;$F376&amp;"'!D3:D"),1,FALSE()), "Not found")</f>
        <v>Not found</v>
      </c>
      <c r="H376" s="89" t="n">
        <f aca="true">INDIRECT("'"&amp;$F376&amp;"'!D1")</f>
        <v>1</v>
      </c>
      <c r="I376" s="89" t="str">
        <f aca="false">IFERROR(__xludf.dummyfunction("REGEXEXTRACT(ADDRESS(ROW(), 19+$H376), ""[A-Z]+"")"),"T")</f>
        <v>T</v>
      </c>
      <c r="J376" s="89" t="str">
        <f aca="false">IFERROR(__xludf.dummyfunction("REGEXEXTRACT(ADDRESS(ROW(), 25+$H376), ""[A-Z]+"")"),"Z")</f>
        <v>Z</v>
      </c>
      <c r="K376" s="89" t="str">
        <f aca="false">IFERROR(__xludf.dummyfunction("REGEXEXTRACT(ADDRESS(ROW(), 27+$H376), ""[A-Z]+"")"),"AB")</f>
        <v>AB</v>
      </c>
      <c r="L376" s="89" t="str">
        <f aca="false">IFERROR(__xludf.dummyfunction("REGEXEXTRACT(ADDRESS(ROW(), 28+$H376), ""[A-Z]+"")"),"AC")</f>
        <v>AC</v>
      </c>
      <c r="M376" s="89" t="str">
        <f aca="false">IFERROR(__xludf.dummyfunction("REGEXEXTRACT(ADDRESS(ROW(), 34+$H376), ""[A-Z]+"")"),"AI")</f>
        <v>AI</v>
      </c>
      <c r="N376" s="89" t="str">
        <f aca="false">IFERROR(__xludf.dummyfunction("REGEXEXTRACT(ADDRESS(ROW(), 37+$H376), ""[A-Z]+"")"),"AL")</f>
        <v>AL</v>
      </c>
      <c r="O376" s="89" t="str">
        <f aca="false">IFERROR(__xludf.dummyfunction("REGEXEXTRACT(ADDRESS(ROW(), 38+$H376), ""[A-Z]+"")"),"AM")</f>
        <v>AM</v>
      </c>
      <c r="P376" s="89" t="str">
        <f aca="false">IFERROR(__xludf.dummyfunction("REGEXEXTRACT(ADDRESS(ROW(), 39+$H376), ""[A-Z]+"")"),"AN")</f>
        <v>AN</v>
      </c>
      <c r="Q376" s="89" t="str">
        <f aca="false">IFERROR(__xludf.dummyfunction("REGEXEXTRACT(ADDRESS(ROW(), 40+$H376), ""[A-Z]+"")"),"AO")</f>
        <v>AO</v>
      </c>
      <c r="R376" s="89" t="n">
        <f aca="false">IFERROR(__xludf.dummyfunction("IFERROR(QUERY(INDIRECT(""'""&amp;$F376&amp;""'!C3:""&amp;Q376&amp;""""), ""SELECT ""&amp;I376&amp;"", ""&amp;J376&amp;"", ""&amp;K376&amp;"", ""&amp;L376&amp;"", ""&amp;M376&amp;"", ""&amp;N376&amp;"", ""&amp;O376&amp;"", ""&amp;P376&amp;"" WHERE '""&amp;B376&amp;""' CONTAINS D"", 0), """")"),19)</f>
        <v>19</v>
      </c>
      <c r="S376" s="89" t="n">
        <f aca="false">IFERROR(__xludf.dummyfunction("""COMPUTED_VALUE"""),18)</f>
        <v>18</v>
      </c>
      <c r="T376" s="89"/>
      <c r="U376" s="89"/>
      <c r="V376" s="89" t="n">
        <f aca="false">IFERROR(__xludf.dummyfunction("""COMPUTED_VALUE"""),9)</f>
        <v>9</v>
      </c>
      <c r="W376" s="89"/>
      <c r="X376" s="89" t="n">
        <f aca="false">IFERROR(__xludf.dummyfunction("""COMPUTED_VALUE"""),40)</f>
        <v>40</v>
      </c>
      <c r="Y376" s="89" t="n">
        <f aca="false">IFERROR(__xludf.dummyfunction("""COMPUTED_VALUE"""),86)</f>
        <v>86</v>
      </c>
    </row>
    <row r="377" customFormat="false" ht="17.9" hidden="false" customHeight="false" outlineLevel="0" collapsed="false">
      <c r="A377" s="85" t="n">
        <v>376</v>
      </c>
      <c r="B377" s="85" t="n">
        <v>409804</v>
      </c>
      <c r="C377" s="86" t="s">
        <v>477</v>
      </c>
      <c r="D377" s="87" t="s">
        <v>139</v>
      </c>
      <c r="E377" s="88" t="str">
        <f aca="false">D377</f>
        <v>P3118</v>
      </c>
      <c r="F377" s="88" t="str">
        <f aca="false">REPLACE(E377, 1, 3, "")</f>
        <v>18</v>
      </c>
      <c r="G377" s="89" t="str">
        <f aca="true">IFERROR(VLOOKUP(B377,INDIRECT("'"&amp;$F377&amp;"'!D3:D"),1,FALSE()), "Not found")</f>
        <v>Not found</v>
      </c>
      <c r="H377" s="89" t="n">
        <f aca="true">INDIRECT("'"&amp;$F377&amp;"'!D1")</f>
        <v>0</v>
      </c>
      <c r="I377" s="89" t="str">
        <f aca="false">IFERROR(__xludf.dummyfunction("REGEXEXTRACT(ADDRESS(ROW(), 19+$H377), ""[A-Z]+"")"),"S")</f>
        <v>S</v>
      </c>
      <c r="J377" s="89" t="str">
        <f aca="false">IFERROR(__xludf.dummyfunction("REGEXEXTRACT(ADDRESS(ROW(), 25+$H377), ""[A-Z]+"")"),"Y")</f>
        <v>Y</v>
      </c>
      <c r="K377" s="89" t="str">
        <f aca="false">IFERROR(__xludf.dummyfunction("REGEXEXTRACT(ADDRESS(ROW(), 27+$H377), ""[A-Z]+"")"),"AA")</f>
        <v>AA</v>
      </c>
      <c r="L377" s="89" t="str">
        <f aca="false">IFERROR(__xludf.dummyfunction("REGEXEXTRACT(ADDRESS(ROW(), 28+$H377), ""[A-Z]+"")"),"AB")</f>
        <v>AB</v>
      </c>
      <c r="M377" s="89" t="str">
        <f aca="false">IFERROR(__xludf.dummyfunction("REGEXEXTRACT(ADDRESS(ROW(), 34+$H377), ""[A-Z]+"")"),"AH")</f>
        <v>AH</v>
      </c>
      <c r="N377" s="89" t="str">
        <f aca="false">IFERROR(__xludf.dummyfunction("REGEXEXTRACT(ADDRESS(ROW(), 37+$H377), ""[A-Z]+"")"),"AK")</f>
        <v>AK</v>
      </c>
      <c r="O377" s="89" t="str">
        <f aca="false">IFERROR(__xludf.dummyfunction("REGEXEXTRACT(ADDRESS(ROW(), 38+$H377), ""[A-Z]+"")"),"AL")</f>
        <v>AL</v>
      </c>
      <c r="P377" s="89" t="str">
        <f aca="false">IFERROR(__xludf.dummyfunction("REGEXEXTRACT(ADDRESS(ROW(), 39+$H377), ""[A-Z]+"")"),"AM")</f>
        <v>AM</v>
      </c>
      <c r="Q377" s="89" t="str">
        <f aca="false">IFERROR(__xludf.dummyfunction("REGEXEXTRACT(ADDRESS(ROW(), 40+$H377), ""[A-Z]+"")"),"AN")</f>
        <v>AN</v>
      </c>
      <c r="R377" s="89" t="str">
        <f aca="false">IFERROR(__xludf.dummyfunction("IFERROR(QUERY(INDIRECT(""'""&amp;$F377&amp;""'!C3:""&amp;Q377&amp;""""), ""SELECT ""&amp;I377&amp;"", ""&amp;J377&amp;"", ""&amp;K377&amp;"", ""&amp;L377&amp;"", ""&amp;M377&amp;"", ""&amp;N377&amp;"", ""&amp;O377&amp;"", ""&amp;P377&amp;"" WHERE '""&amp;B377&amp;""' CONTAINS D"", 0), """")"),"")</f>
        <v/>
      </c>
      <c r="S377" s="89"/>
      <c r="T377" s="89"/>
      <c r="U377" s="89"/>
      <c r="V377" s="89" t="n">
        <f aca="false">IFERROR(__xludf.dummyfunction("""COMPUTED_VALUE"""),0)</f>
        <v>0</v>
      </c>
      <c r="W377" s="89"/>
      <c r="X377" s="89"/>
      <c r="Y377" s="89" t="n">
        <f aca="false">IFERROR(__xludf.dummyfunction("""COMPUTED_VALUE"""),0)</f>
        <v>0</v>
      </c>
    </row>
    <row r="378" customFormat="false" ht="17.9" hidden="false" customHeight="false" outlineLevel="0" collapsed="false">
      <c r="A378" s="85" t="n">
        <v>377</v>
      </c>
      <c r="B378" s="85" t="n">
        <v>467959</v>
      </c>
      <c r="C378" s="86" t="s">
        <v>478</v>
      </c>
      <c r="D378" s="87" t="s">
        <v>89</v>
      </c>
      <c r="E378" s="88" t="str">
        <f aca="false">D378</f>
        <v>P3119</v>
      </c>
      <c r="F378" s="88" t="str">
        <f aca="false">REPLACE(E378, 1, 3, "")</f>
        <v>19</v>
      </c>
      <c r="G378" s="89" t="str">
        <f aca="true">IFERROR(VLOOKUP(B378,INDIRECT("'"&amp;$F378&amp;"'!D3:D"),1,FALSE()), "Not found")</f>
        <v>Not found</v>
      </c>
      <c r="H378" s="89" t="n">
        <f aca="true">INDIRECT("'"&amp;$F378&amp;"'!D1")</f>
        <v>0</v>
      </c>
      <c r="I378" s="89" t="str">
        <f aca="false">IFERROR(__xludf.dummyfunction("REGEXEXTRACT(ADDRESS(ROW(), 19+$H378), ""[A-Z]+"")"),"S")</f>
        <v>S</v>
      </c>
      <c r="J378" s="89" t="str">
        <f aca="false">IFERROR(__xludf.dummyfunction("REGEXEXTRACT(ADDRESS(ROW(), 25+$H378), ""[A-Z]+"")"),"Y")</f>
        <v>Y</v>
      </c>
      <c r="K378" s="89" t="str">
        <f aca="false">IFERROR(__xludf.dummyfunction("REGEXEXTRACT(ADDRESS(ROW(), 27+$H378), ""[A-Z]+"")"),"AA")</f>
        <v>AA</v>
      </c>
      <c r="L378" s="89" t="str">
        <f aca="false">IFERROR(__xludf.dummyfunction("REGEXEXTRACT(ADDRESS(ROW(), 28+$H378), ""[A-Z]+"")"),"AB")</f>
        <v>AB</v>
      </c>
      <c r="M378" s="89" t="str">
        <f aca="false">IFERROR(__xludf.dummyfunction("REGEXEXTRACT(ADDRESS(ROW(), 34+$H378), ""[A-Z]+"")"),"AH")</f>
        <v>AH</v>
      </c>
      <c r="N378" s="89" t="str">
        <f aca="false">IFERROR(__xludf.dummyfunction("REGEXEXTRACT(ADDRESS(ROW(), 37+$H378), ""[A-Z]+"")"),"AK")</f>
        <v>AK</v>
      </c>
      <c r="O378" s="89" t="str">
        <f aca="false">IFERROR(__xludf.dummyfunction("REGEXEXTRACT(ADDRESS(ROW(), 38+$H378), ""[A-Z]+"")"),"AL")</f>
        <v>AL</v>
      </c>
      <c r="P378" s="89" t="str">
        <f aca="false">IFERROR(__xludf.dummyfunction("REGEXEXTRACT(ADDRESS(ROW(), 39+$H378), ""[A-Z]+"")"),"AM")</f>
        <v>AM</v>
      </c>
      <c r="Q378" s="89" t="str">
        <f aca="false">IFERROR(__xludf.dummyfunction("REGEXEXTRACT(ADDRESS(ROW(), 40+$H378), ""[A-Z]+"")"),"AN")</f>
        <v>AN</v>
      </c>
      <c r="R378" s="89" t="n">
        <f aca="false">IFERROR(__xludf.dummyfunction("IFERROR(QUERY(INDIRECT(""'""&amp;$F378&amp;""'!C3:""&amp;Q378&amp;""""), ""SELECT ""&amp;I378&amp;"", ""&amp;J378&amp;"", ""&amp;K378&amp;"", ""&amp;L378&amp;"", ""&amp;M378&amp;"", ""&amp;N378&amp;"", ""&amp;O378&amp;"", ""&amp;P378&amp;"" WHERE '""&amp;B378&amp;""' CONTAINS D"", 0), """")"),17)</f>
        <v>17</v>
      </c>
      <c r="S378" s="89" t="n">
        <f aca="false">IFERROR(__xludf.dummyfunction("""COMPUTED_VALUE"""),17)</f>
        <v>17</v>
      </c>
      <c r="T378" s="89"/>
      <c r="U378" s="89"/>
      <c r="V378" s="89" t="n">
        <f aca="false">IFERROR(__xludf.dummyfunction("""COMPUTED_VALUE"""),10)</f>
        <v>10</v>
      </c>
      <c r="W378" s="89"/>
      <c r="X378" s="89" t="n">
        <f aca="false">IFERROR(__xludf.dummyfunction("""COMPUTED_VALUE"""),40)</f>
        <v>40</v>
      </c>
      <c r="Y378" s="89" t="n">
        <f aca="false">IFERROR(__xludf.dummyfunction("""COMPUTED_VALUE"""),84)</f>
        <v>84</v>
      </c>
    </row>
    <row r="379" customFormat="false" ht="17.9" hidden="false" customHeight="false" outlineLevel="0" collapsed="false">
      <c r="A379" s="85" t="n">
        <v>378</v>
      </c>
      <c r="B379" s="85" t="n">
        <v>467968</v>
      </c>
      <c r="C379" s="86" t="s">
        <v>479</v>
      </c>
      <c r="D379" s="87" t="s">
        <v>139</v>
      </c>
      <c r="E379" s="88" t="str">
        <f aca="false">D379</f>
        <v>P3118</v>
      </c>
      <c r="F379" s="88" t="str">
        <f aca="false">REPLACE(E379, 1, 3, "")</f>
        <v>18</v>
      </c>
      <c r="G379" s="89" t="str">
        <f aca="true">IFERROR(VLOOKUP(B379,INDIRECT("'"&amp;$F379&amp;"'!D3:D"),1,FALSE()), "Not found")</f>
        <v>Not found</v>
      </c>
      <c r="H379" s="89" t="n">
        <f aca="true">INDIRECT("'"&amp;$F379&amp;"'!D1")</f>
        <v>0</v>
      </c>
      <c r="I379" s="89" t="str">
        <f aca="false">IFERROR(__xludf.dummyfunction("REGEXEXTRACT(ADDRESS(ROW(), 19+$H379), ""[A-Z]+"")"),"S")</f>
        <v>S</v>
      </c>
      <c r="J379" s="89" t="str">
        <f aca="false">IFERROR(__xludf.dummyfunction("REGEXEXTRACT(ADDRESS(ROW(), 25+$H379), ""[A-Z]+"")"),"Y")</f>
        <v>Y</v>
      </c>
      <c r="K379" s="89" t="str">
        <f aca="false">IFERROR(__xludf.dummyfunction("REGEXEXTRACT(ADDRESS(ROW(), 27+$H379), ""[A-Z]+"")"),"AA")</f>
        <v>AA</v>
      </c>
      <c r="L379" s="89" t="str">
        <f aca="false">IFERROR(__xludf.dummyfunction("REGEXEXTRACT(ADDRESS(ROW(), 28+$H379), ""[A-Z]+"")"),"AB")</f>
        <v>AB</v>
      </c>
      <c r="M379" s="89" t="str">
        <f aca="false">IFERROR(__xludf.dummyfunction("REGEXEXTRACT(ADDRESS(ROW(), 34+$H379), ""[A-Z]+"")"),"AH")</f>
        <v>AH</v>
      </c>
      <c r="N379" s="89" t="str">
        <f aca="false">IFERROR(__xludf.dummyfunction("REGEXEXTRACT(ADDRESS(ROW(), 37+$H379), ""[A-Z]+"")"),"AK")</f>
        <v>AK</v>
      </c>
      <c r="O379" s="89" t="str">
        <f aca="false">IFERROR(__xludf.dummyfunction("REGEXEXTRACT(ADDRESS(ROW(), 38+$H379), ""[A-Z]+"")"),"AL")</f>
        <v>AL</v>
      </c>
      <c r="P379" s="89" t="str">
        <f aca="false">IFERROR(__xludf.dummyfunction("REGEXEXTRACT(ADDRESS(ROW(), 39+$H379), ""[A-Z]+"")"),"AM")</f>
        <v>AM</v>
      </c>
      <c r="Q379" s="89" t="str">
        <f aca="false">IFERROR(__xludf.dummyfunction("REGEXEXTRACT(ADDRESS(ROW(), 40+$H379), ""[A-Z]+"")"),"AN")</f>
        <v>AN</v>
      </c>
      <c r="R379" s="89" t="n">
        <f aca="false">IFERROR(__xludf.dummyfunction("IFERROR(QUERY(INDIRECT(""'""&amp;$F379&amp;""'!C3:""&amp;Q379&amp;""""), ""SELECT ""&amp;I379&amp;"", ""&amp;J379&amp;"", ""&amp;K379&amp;"", ""&amp;L379&amp;"", ""&amp;M379&amp;"", ""&amp;N379&amp;"", ""&amp;O379&amp;"", ""&amp;P379&amp;"" WHERE '""&amp;B379&amp;""' CONTAINS D"", 0), """")"),16.8)</f>
        <v>16.8</v>
      </c>
      <c r="S379" s="89" t="n">
        <f aca="false">IFERROR(__xludf.dummyfunction("""COMPUTED_VALUE"""),17)</f>
        <v>17</v>
      </c>
      <c r="T379" s="89"/>
      <c r="U379" s="89"/>
      <c r="V379" s="89" t="n">
        <f aca="false">IFERROR(__xludf.dummyfunction("""COMPUTED_VALUE"""),6)</f>
        <v>6</v>
      </c>
      <c r="W379" s="89"/>
      <c r="X379" s="89" t="n">
        <f aca="false">IFERROR(__xludf.dummyfunction("""COMPUTED_VALUE"""),34)</f>
        <v>34</v>
      </c>
      <c r="Y379" s="89" t="n">
        <f aca="false">IFERROR(__xludf.dummyfunction("""COMPUTED_VALUE"""),73.8)</f>
        <v>73.8</v>
      </c>
    </row>
    <row r="380" customFormat="false" ht="17.9" hidden="false" customHeight="false" outlineLevel="0" collapsed="false">
      <c r="A380" s="85" t="n">
        <v>379</v>
      </c>
      <c r="B380" s="85" t="n">
        <v>467969</v>
      </c>
      <c r="C380" s="86" t="s">
        <v>480</v>
      </c>
      <c r="D380" s="87" t="s">
        <v>130</v>
      </c>
      <c r="E380" s="88" t="str">
        <f aca="false">D380</f>
        <v>P3117</v>
      </c>
      <c r="F380" s="88" t="str">
        <f aca="false">REPLACE(E380, 1, 3, "")</f>
        <v>17</v>
      </c>
      <c r="G380" s="89" t="str">
        <f aca="true">IFERROR(VLOOKUP(B380,INDIRECT("'"&amp;$F380&amp;"'!D3:D"),1,FALSE()), "Not found")</f>
        <v>Not found</v>
      </c>
      <c r="H380" s="89" t="n">
        <f aca="true">INDIRECT("'"&amp;$F380&amp;"'!D1")</f>
        <v>1</v>
      </c>
      <c r="I380" s="89" t="str">
        <f aca="false">IFERROR(__xludf.dummyfunction("REGEXEXTRACT(ADDRESS(ROW(), 19+$H380), ""[A-Z]+"")"),"T")</f>
        <v>T</v>
      </c>
      <c r="J380" s="89" t="str">
        <f aca="false">IFERROR(__xludf.dummyfunction("REGEXEXTRACT(ADDRESS(ROW(), 25+$H380), ""[A-Z]+"")"),"Z")</f>
        <v>Z</v>
      </c>
      <c r="K380" s="89" t="str">
        <f aca="false">IFERROR(__xludf.dummyfunction("REGEXEXTRACT(ADDRESS(ROW(), 27+$H380), ""[A-Z]+"")"),"AB")</f>
        <v>AB</v>
      </c>
      <c r="L380" s="89" t="str">
        <f aca="false">IFERROR(__xludf.dummyfunction("REGEXEXTRACT(ADDRESS(ROW(), 28+$H380), ""[A-Z]+"")"),"AC")</f>
        <v>AC</v>
      </c>
      <c r="M380" s="89" t="str">
        <f aca="false">IFERROR(__xludf.dummyfunction("REGEXEXTRACT(ADDRESS(ROW(), 34+$H380), ""[A-Z]+"")"),"AI")</f>
        <v>AI</v>
      </c>
      <c r="N380" s="89" t="str">
        <f aca="false">IFERROR(__xludf.dummyfunction("REGEXEXTRACT(ADDRESS(ROW(), 37+$H380), ""[A-Z]+"")"),"AL")</f>
        <v>AL</v>
      </c>
      <c r="O380" s="89" t="str">
        <f aca="false">IFERROR(__xludf.dummyfunction("REGEXEXTRACT(ADDRESS(ROW(), 38+$H380), ""[A-Z]+"")"),"AM")</f>
        <v>AM</v>
      </c>
      <c r="P380" s="89" t="str">
        <f aca="false">IFERROR(__xludf.dummyfunction("REGEXEXTRACT(ADDRESS(ROW(), 39+$H380), ""[A-Z]+"")"),"AN")</f>
        <v>AN</v>
      </c>
      <c r="Q380" s="89" t="str">
        <f aca="false">IFERROR(__xludf.dummyfunction("REGEXEXTRACT(ADDRESS(ROW(), 40+$H380), ""[A-Z]+"")"),"AO")</f>
        <v>AO</v>
      </c>
      <c r="R380" s="89" t="n">
        <f aca="false">IFERROR(__xludf.dummyfunction("IFERROR(QUERY(INDIRECT(""'""&amp;$F380&amp;""'!C3:""&amp;Q380&amp;""""), ""SELECT ""&amp;I380&amp;"", ""&amp;J380&amp;"", ""&amp;K380&amp;"", ""&amp;L380&amp;"", ""&amp;M380&amp;"", ""&amp;N380&amp;"", ""&amp;O380&amp;"", ""&amp;P380&amp;"" WHERE '""&amp;B380&amp;""' CONTAINS D"", 0), """")"),19)</f>
        <v>19</v>
      </c>
      <c r="S380" s="89" t="n">
        <f aca="false">IFERROR(__xludf.dummyfunction("""COMPUTED_VALUE"""),19.5)</f>
        <v>19.5</v>
      </c>
      <c r="T380" s="89"/>
      <c r="U380" s="89"/>
      <c r="V380" s="89" t="n">
        <f aca="false">IFERROR(__xludf.dummyfunction("""COMPUTED_VALUE"""),10)</f>
        <v>10</v>
      </c>
      <c r="W380" s="89"/>
      <c r="X380" s="89" t="n">
        <f aca="false">IFERROR(__xludf.dummyfunction("""COMPUTED_VALUE"""),40)</f>
        <v>40</v>
      </c>
      <c r="Y380" s="89" t="n">
        <f aca="false">IFERROR(__xludf.dummyfunction("""COMPUTED_VALUE"""),88.5)</f>
        <v>88.5</v>
      </c>
    </row>
    <row r="381" customFormat="false" ht="17.9" hidden="false" customHeight="false" outlineLevel="0" collapsed="false">
      <c r="A381" s="85" t="n">
        <v>380</v>
      </c>
      <c r="B381" s="85" t="n">
        <v>467979</v>
      </c>
      <c r="C381" s="86" t="s">
        <v>481</v>
      </c>
      <c r="D381" s="87" t="s">
        <v>117</v>
      </c>
      <c r="E381" s="88" t="str">
        <f aca="false">D381</f>
        <v>P3116</v>
      </c>
      <c r="F381" s="88" t="str">
        <f aca="false">REPLACE(E381, 1, 3, "")</f>
        <v>16</v>
      </c>
      <c r="G381" s="89" t="str">
        <f aca="true">IFERROR(VLOOKUP(B381,INDIRECT("'"&amp;$F381&amp;"'!D3:D"),1,FALSE()), "Not found")</f>
        <v>Not found</v>
      </c>
      <c r="H381" s="89" t="n">
        <f aca="true">INDIRECT("'"&amp;$F381&amp;"'!D1")</f>
        <v>0</v>
      </c>
      <c r="I381" s="89" t="str">
        <f aca="false">IFERROR(__xludf.dummyfunction("REGEXEXTRACT(ADDRESS(ROW(), 19+$H381), ""[A-Z]+"")"),"S")</f>
        <v>S</v>
      </c>
      <c r="J381" s="89" t="str">
        <f aca="false">IFERROR(__xludf.dummyfunction("REGEXEXTRACT(ADDRESS(ROW(), 25+$H381), ""[A-Z]+"")"),"Y")</f>
        <v>Y</v>
      </c>
      <c r="K381" s="89" t="str">
        <f aca="false">IFERROR(__xludf.dummyfunction("REGEXEXTRACT(ADDRESS(ROW(), 27+$H381), ""[A-Z]+"")"),"AA")</f>
        <v>AA</v>
      </c>
      <c r="L381" s="89" t="str">
        <f aca="false">IFERROR(__xludf.dummyfunction("REGEXEXTRACT(ADDRESS(ROW(), 28+$H381), ""[A-Z]+"")"),"AB")</f>
        <v>AB</v>
      </c>
      <c r="M381" s="89" t="str">
        <f aca="false">IFERROR(__xludf.dummyfunction("REGEXEXTRACT(ADDRESS(ROW(), 34+$H381), ""[A-Z]+"")"),"AH")</f>
        <v>AH</v>
      </c>
      <c r="N381" s="89" t="str">
        <f aca="false">IFERROR(__xludf.dummyfunction("REGEXEXTRACT(ADDRESS(ROW(), 37+$H381), ""[A-Z]+"")"),"AK")</f>
        <v>AK</v>
      </c>
      <c r="O381" s="89" t="str">
        <f aca="false">IFERROR(__xludf.dummyfunction("REGEXEXTRACT(ADDRESS(ROW(), 38+$H381), ""[A-Z]+"")"),"AL")</f>
        <v>AL</v>
      </c>
      <c r="P381" s="89" t="str">
        <f aca="false">IFERROR(__xludf.dummyfunction("REGEXEXTRACT(ADDRESS(ROW(), 39+$H381), ""[A-Z]+"")"),"AM")</f>
        <v>AM</v>
      </c>
      <c r="Q381" s="89" t="str">
        <f aca="false">IFERROR(__xludf.dummyfunction("REGEXEXTRACT(ADDRESS(ROW(), 40+$H381), ""[A-Z]+"")"),"AN")</f>
        <v>AN</v>
      </c>
      <c r="R381" s="89" t="n">
        <f aca="false">IFERROR(__xludf.dummyfunction("IFERROR(QUERY(INDIRECT(""'""&amp;$F381&amp;""'!C3:""&amp;Q381&amp;""""), ""SELECT ""&amp;I381&amp;"", ""&amp;J381&amp;"", ""&amp;K381&amp;"", ""&amp;L381&amp;"", ""&amp;M381&amp;"", ""&amp;N381&amp;"", ""&amp;O381&amp;"", ""&amp;P381&amp;"" WHERE '""&amp;B381&amp;""' CONTAINS D"", 0), """")"),19)</f>
        <v>19</v>
      </c>
      <c r="S381" s="89" t="n">
        <f aca="false">IFERROR(__xludf.dummyfunction("""COMPUTED_VALUE"""),17)</f>
        <v>17</v>
      </c>
      <c r="T381" s="89"/>
      <c r="U381" s="89"/>
      <c r="V381" s="89" t="n">
        <f aca="false">IFERROR(__xludf.dummyfunction("""COMPUTED_VALUE"""),9)</f>
        <v>9</v>
      </c>
      <c r="W381" s="89"/>
      <c r="X381" s="89" t="n">
        <f aca="false">IFERROR(__xludf.dummyfunction("""COMPUTED_VALUE"""),30)</f>
        <v>30</v>
      </c>
      <c r="Y381" s="89" t="n">
        <f aca="false">IFERROR(__xludf.dummyfunction("""COMPUTED_VALUE"""),75)</f>
        <v>75</v>
      </c>
    </row>
    <row r="382" customFormat="false" ht="17.9" hidden="false" customHeight="false" outlineLevel="0" collapsed="false">
      <c r="A382" s="85" t="n">
        <v>381</v>
      </c>
      <c r="B382" s="85" t="n">
        <v>407959</v>
      </c>
      <c r="C382" s="86" t="s">
        <v>482</v>
      </c>
      <c r="D382" s="87" t="s">
        <v>102</v>
      </c>
      <c r="E382" s="88" t="str">
        <f aca="false">D382</f>
        <v>P3110</v>
      </c>
      <c r="F382" s="88" t="str">
        <f aca="false">REPLACE(E382, 1, 3, "")</f>
        <v>10</v>
      </c>
      <c r="G382" s="89" t="str">
        <f aca="true">IFERROR(VLOOKUP(B382,INDIRECT("'"&amp;$F382&amp;"'!D3:D"),1,FALSE()), "Not found")</f>
        <v>Not found</v>
      </c>
      <c r="H382" s="89" t="n">
        <f aca="true">INDIRECT("'"&amp;$F382&amp;"'!D1")</f>
        <v>0</v>
      </c>
      <c r="I382" s="89" t="str">
        <f aca="false">IFERROR(__xludf.dummyfunction("REGEXEXTRACT(ADDRESS(ROW(), 19+$H382), ""[A-Z]+"")"),"S")</f>
        <v>S</v>
      </c>
      <c r="J382" s="89" t="str">
        <f aca="false">IFERROR(__xludf.dummyfunction("REGEXEXTRACT(ADDRESS(ROW(), 25+$H382), ""[A-Z]+"")"),"Y")</f>
        <v>Y</v>
      </c>
      <c r="K382" s="89" t="str">
        <f aca="false">IFERROR(__xludf.dummyfunction("REGEXEXTRACT(ADDRESS(ROW(), 27+$H382), ""[A-Z]+"")"),"AA")</f>
        <v>AA</v>
      </c>
      <c r="L382" s="89" t="str">
        <f aca="false">IFERROR(__xludf.dummyfunction("REGEXEXTRACT(ADDRESS(ROW(), 28+$H382), ""[A-Z]+"")"),"AB")</f>
        <v>AB</v>
      </c>
      <c r="M382" s="89" t="str">
        <f aca="false">IFERROR(__xludf.dummyfunction("REGEXEXTRACT(ADDRESS(ROW(), 34+$H382), ""[A-Z]+"")"),"AH")</f>
        <v>AH</v>
      </c>
      <c r="N382" s="89" t="str">
        <f aca="false">IFERROR(__xludf.dummyfunction("REGEXEXTRACT(ADDRESS(ROW(), 37+$H382), ""[A-Z]+"")"),"AK")</f>
        <v>AK</v>
      </c>
      <c r="O382" s="89" t="str">
        <f aca="false">IFERROR(__xludf.dummyfunction("REGEXEXTRACT(ADDRESS(ROW(), 38+$H382), ""[A-Z]+"")"),"AL")</f>
        <v>AL</v>
      </c>
      <c r="P382" s="89" t="str">
        <f aca="false">IFERROR(__xludf.dummyfunction("REGEXEXTRACT(ADDRESS(ROW(), 39+$H382), ""[A-Z]+"")"),"AM")</f>
        <v>AM</v>
      </c>
      <c r="Q382" s="89" t="str">
        <f aca="false">IFERROR(__xludf.dummyfunction("REGEXEXTRACT(ADDRESS(ROW(), 40+$H382), ""[A-Z]+"")"),"AN")</f>
        <v>AN</v>
      </c>
      <c r="R382" s="89" t="n">
        <f aca="false">IFERROR(__xludf.dummyfunction("IFERROR(QUERY(INDIRECT(""'""&amp;$F382&amp;""'!C3:""&amp;Q382&amp;""""), ""SELECT ""&amp;I382&amp;"", ""&amp;J382&amp;"", ""&amp;K382&amp;"", ""&amp;L382&amp;"", ""&amp;M382&amp;"", ""&amp;N382&amp;"", ""&amp;O382&amp;"", ""&amp;P382&amp;"" WHERE '""&amp;B382&amp;""' CONTAINS D"", 0), """")"),17)</f>
        <v>17</v>
      </c>
      <c r="S382" s="89" t="n">
        <f aca="false">IFERROR(__xludf.dummyfunction("""COMPUTED_VALUE"""),16)</f>
        <v>16</v>
      </c>
      <c r="T382" s="89"/>
      <c r="U382" s="89"/>
      <c r="V382" s="89" t="n">
        <f aca="false">IFERROR(__xludf.dummyfunction("""COMPUTED_VALUE"""),6)</f>
        <v>6</v>
      </c>
      <c r="W382" s="89"/>
      <c r="X382" s="89" t="n">
        <f aca="false">IFERROR(__xludf.dummyfunction("""COMPUTED_VALUE"""),40)</f>
        <v>40</v>
      </c>
      <c r="Y382" s="89" t="n">
        <f aca="false">IFERROR(__xludf.dummyfunction("""COMPUTED_VALUE"""),79)</f>
        <v>79</v>
      </c>
    </row>
    <row r="383" customFormat="false" ht="17.9" hidden="false" customHeight="false" outlineLevel="0" collapsed="false">
      <c r="A383" s="85" t="n">
        <v>382</v>
      </c>
      <c r="B383" s="85" t="n">
        <v>468012</v>
      </c>
      <c r="C383" s="86" t="s">
        <v>483</v>
      </c>
      <c r="D383" s="87" t="s">
        <v>151</v>
      </c>
      <c r="E383" s="88" t="str">
        <f aca="false">D383</f>
        <v>P3122</v>
      </c>
      <c r="F383" s="88" t="str">
        <f aca="false">REPLACE(E383, 1, 3, "")</f>
        <v>22</v>
      </c>
      <c r="G383" s="89" t="str">
        <f aca="true">IFERROR(VLOOKUP(B383,INDIRECT("'"&amp;$F383&amp;"'!D3:D"),1,FALSE()), "Not found")</f>
        <v>Not found</v>
      </c>
      <c r="H383" s="89" t="n">
        <f aca="true">INDIRECT("'"&amp;$F383&amp;"'!D1")</f>
        <v>0</v>
      </c>
      <c r="I383" s="89" t="str">
        <f aca="false">IFERROR(__xludf.dummyfunction("REGEXEXTRACT(ADDRESS(ROW(), 19+$H383), ""[A-Z]+"")"),"S")</f>
        <v>S</v>
      </c>
      <c r="J383" s="89" t="str">
        <f aca="false">IFERROR(__xludf.dummyfunction("REGEXEXTRACT(ADDRESS(ROW(), 25+$H383), ""[A-Z]+"")"),"Y")</f>
        <v>Y</v>
      </c>
      <c r="K383" s="89" t="str">
        <f aca="false">IFERROR(__xludf.dummyfunction("REGEXEXTRACT(ADDRESS(ROW(), 27+$H383), ""[A-Z]+"")"),"AA")</f>
        <v>AA</v>
      </c>
      <c r="L383" s="89" t="str">
        <f aca="false">IFERROR(__xludf.dummyfunction("REGEXEXTRACT(ADDRESS(ROW(), 28+$H383), ""[A-Z]+"")"),"AB")</f>
        <v>AB</v>
      </c>
      <c r="M383" s="89" t="str">
        <f aca="false">IFERROR(__xludf.dummyfunction("REGEXEXTRACT(ADDRESS(ROW(), 34+$H383), ""[A-Z]+"")"),"AH")</f>
        <v>AH</v>
      </c>
      <c r="N383" s="89" t="str">
        <f aca="false">IFERROR(__xludf.dummyfunction("REGEXEXTRACT(ADDRESS(ROW(), 37+$H383), ""[A-Z]+"")"),"AK")</f>
        <v>AK</v>
      </c>
      <c r="O383" s="89" t="str">
        <f aca="false">IFERROR(__xludf.dummyfunction("REGEXEXTRACT(ADDRESS(ROW(), 38+$H383), ""[A-Z]+"")"),"AL")</f>
        <v>AL</v>
      </c>
      <c r="P383" s="89" t="str">
        <f aca="false">IFERROR(__xludf.dummyfunction("REGEXEXTRACT(ADDRESS(ROW(), 39+$H383), ""[A-Z]+"")"),"AM")</f>
        <v>AM</v>
      </c>
      <c r="Q383" s="89" t="str">
        <f aca="false">IFERROR(__xludf.dummyfunction("REGEXEXTRACT(ADDRESS(ROW(), 40+$H383), ""[A-Z]+"")"),"AN")</f>
        <v>AN</v>
      </c>
      <c r="R383" s="89" t="n">
        <f aca="false">IFERROR(__xludf.dummyfunction("IFERROR(QUERY(INDIRECT(""'""&amp;$F383&amp;""'!C3:""&amp;Q383&amp;""""), ""SELECT ""&amp;I383&amp;"", ""&amp;J383&amp;"", ""&amp;K383&amp;"", ""&amp;L383&amp;"", ""&amp;M383&amp;"", ""&amp;N383&amp;"", ""&amp;O383&amp;"", ""&amp;P383&amp;"" WHERE '""&amp;B383&amp;""' CONTAINS D"", 0), """")"),19)</f>
        <v>19</v>
      </c>
      <c r="S383" s="89" t="n">
        <f aca="false">IFERROR(__xludf.dummyfunction("""COMPUTED_VALUE"""),18.5)</f>
        <v>18.5</v>
      </c>
      <c r="T383" s="89"/>
      <c r="U383" s="89"/>
      <c r="V383" s="89" t="n">
        <f aca="false">IFERROR(__xludf.dummyfunction("""COMPUTED_VALUE"""),10)</f>
        <v>10</v>
      </c>
      <c r="W383" s="89"/>
      <c r="X383" s="89" t="n">
        <f aca="false">IFERROR(__xludf.dummyfunction("""COMPUTED_VALUE"""),40)</f>
        <v>40</v>
      </c>
      <c r="Y383" s="89" t="n">
        <f aca="false">IFERROR(__xludf.dummyfunction("""COMPUTED_VALUE"""),87.5)</f>
        <v>87.5</v>
      </c>
    </row>
    <row r="384" customFormat="false" ht="17.9" hidden="false" customHeight="false" outlineLevel="0" collapsed="false">
      <c r="A384" s="85" t="n">
        <v>383</v>
      </c>
      <c r="B384" s="85" t="n">
        <v>468013</v>
      </c>
      <c r="C384" s="86" t="s">
        <v>484</v>
      </c>
      <c r="D384" s="87" t="s">
        <v>125</v>
      </c>
      <c r="E384" s="88" t="str">
        <f aca="false">D384</f>
        <v>P3115</v>
      </c>
      <c r="F384" s="88" t="str">
        <f aca="false">REPLACE(E384, 1, 3, "")</f>
        <v>15</v>
      </c>
      <c r="G384" s="89" t="str">
        <f aca="true">IFERROR(VLOOKUP(B384,INDIRECT("'"&amp;$F384&amp;"'!D3:D"),1,FALSE()), "Not found")</f>
        <v>Not found</v>
      </c>
      <c r="H384" s="89" t="n">
        <f aca="true">INDIRECT("'"&amp;$F384&amp;"'!D1")</f>
        <v>1</v>
      </c>
      <c r="I384" s="89" t="str">
        <f aca="false">IFERROR(__xludf.dummyfunction("REGEXEXTRACT(ADDRESS(ROW(), 19+$H384), ""[A-Z]+"")"),"T")</f>
        <v>T</v>
      </c>
      <c r="J384" s="89" t="str">
        <f aca="false">IFERROR(__xludf.dummyfunction("REGEXEXTRACT(ADDRESS(ROW(), 25+$H384), ""[A-Z]+"")"),"Z")</f>
        <v>Z</v>
      </c>
      <c r="K384" s="89" t="str">
        <f aca="false">IFERROR(__xludf.dummyfunction("REGEXEXTRACT(ADDRESS(ROW(), 27+$H384), ""[A-Z]+"")"),"AB")</f>
        <v>AB</v>
      </c>
      <c r="L384" s="89" t="str">
        <f aca="false">IFERROR(__xludf.dummyfunction("REGEXEXTRACT(ADDRESS(ROW(), 28+$H384), ""[A-Z]+"")"),"AC")</f>
        <v>AC</v>
      </c>
      <c r="M384" s="89" t="str">
        <f aca="false">IFERROR(__xludf.dummyfunction("REGEXEXTRACT(ADDRESS(ROW(), 34+$H384), ""[A-Z]+"")"),"AI")</f>
        <v>AI</v>
      </c>
      <c r="N384" s="89" t="str">
        <f aca="false">IFERROR(__xludf.dummyfunction("REGEXEXTRACT(ADDRESS(ROW(), 37+$H384), ""[A-Z]+"")"),"AL")</f>
        <v>AL</v>
      </c>
      <c r="O384" s="89" t="str">
        <f aca="false">IFERROR(__xludf.dummyfunction("REGEXEXTRACT(ADDRESS(ROW(), 38+$H384), ""[A-Z]+"")"),"AM")</f>
        <v>AM</v>
      </c>
      <c r="P384" s="89" t="str">
        <f aca="false">IFERROR(__xludf.dummyfunction("REGEXEXTRACT(ADDRESS(ROW(), 39+$H384), ""[A-Z]+"")"),"AN")</f>
        <v>AN</v>
      </c>
      <c r="Q384" s="89" t="str">
        <f aca="false">IFERROR(__xludf.dummyfunction("REGEXEXTRACT(ADDRESS(ROW(), 40+$H384), ""[A-Z]+"")"),"AO")</f>
        <v>AO</v>
      </c>
      <c r="R384" s="89" t="n">
        <f aca="false">IFERROR(__xludf.dummyfunction("IFERROR(QUERY(INDIRECT(""'""&amp;$F384&amp;""'!C3:""&amp;Q384&amp;""""), ""SELECT ""&amp;I384&amp;"", ""&amp;J384&amp;"", ""&amp;K384&amp;"", ""&amp;L384&amp;"", ""&amp;M384&amp;"", ""&amp;N384&amp;"", ""&amp;O384&amp;"", ""&amp;P384&amp;"" WHERE '""&amp;B384&amp;""' CONTAINS D"", 0), """")"),18)</f>
        <v>18</v>
      </c>
      <c r="S384" s="89" t="n">
        <f aca="false">IFERROR(__xludf.dummyfunction("""COMPUTED_VALUE"""),18.5)</f>
        <v>18.5</v>
      </c>
      <c r="T384" s="89"/>
      <c r="U384" s="89"/>
      <c r="V384" s="89" t="n">
        <f aca="false">IFERROR(__xludf.dummyfunction("""COMPUTED_VALUE"""),8)</f>
        <v>8</v>
      </c>
      <c r="W384" s="89"/>
      <c r="X384" s="89" t="n">
        <f aca="false">IFERROR(__xludf.dummyfunction("""COMPUTED_VALUE"""),40)</f>
        <v>40</v>
      </c>
      <c r="Y384" s="89" t="n">
        <f aca="false">IFERROR(__xludf.dummyfunction("""COMPUTED_VALUE"""),84.5)</f>
        <v>84.5</v>
      </c>
    </row>
    <row r="385" customFormat="false" ht="17.9" hidden="false" customHeight="false" outlineLevel="0" collapsed="false">
      <c r="A385" s="85" t="n">
        <v>384</v>
      </c>
      <c r="B385" s="85" t="n">
        <v>407938</v>
      </c>
      <c r="C385" s="86" t="s">
        <v>485</v>
      </c>
      <c r="D385" s="87" t="s">
        <v>127</v>
      </c>
      <c r="E385" s="88" t="str">
        <f aca="false">D385</f>
        <v>P3131</v>
      </c>
      <c r="F385" s="88" t="str">
        <f aca="false">REPLACE(E385, 1, 3, "")</f>
        <v>31</v>
      </c>
      <c r="G385" s="89" t="str">
        <f aca="true">IFERROR(VLOOKUP(B385,INDIRECT("'"&amp;$F385&amp;"'!D3:D"),1,FALSE()), "Not found")</f>
        <v>Not found</v>
      </c>
      <c r="H385" s="89" t="n">
        <f aca="true">INDIRECT("'"&amp;$F385&amp;"'!D1")</f>
        <v>0</v>
      </c>
      <c r="I385" s="89" t="str">
        <f aca="false">IFERROR(__xludf.dummyfunction("REGEXEXTRACT(ADDRESS(ROW(), 19+$H385), ""[A-Z]+"")"),"S")</f>
        <v>S</v>
      </c>
      <c r="J385" s="89" t="str">
        <f aca="false">IFERROR(__xludf.dummyfunction("REGEXEXTRACT(ADDRESS(ROW(), 25+$H385), ""[A-Z]+"")"),"Y")</f>
        <v>Y</v>
      </c>
      <c r="K385" s="89" t="str">
        <f aca="false">IFERROR(__xludf.dummyfunction("REGEXEXTRACT(ADDRESS(ROW(), 27+$H385), ""[A-Z]+"")"),"AA")</f>
        <v>AA</v>
      </c>
      <c r="L385" s="89" t="str">
        <f aca="false">IFERROR(__xludf.dummyfunction("REGEXEXTRACT(ADDRESS(ROW(), 28+$H385), ""[A-Z]+"")"),"AB")</f>
        <v>AB</v>
      </c>
      <c r="M385" s="89" t="str">
        <f aca="false">IFERROR(__xludf.dummyfunction("REGEXEXTRACT(ADDRESS(ROW(), 34+$H385), ""[A-Z]+"")"),"AH")</f>
        <v>AH</v>
      </c>
      <c r="N385" s="89" t="str">
        <f aca="false">IFERROR(__xludf.dummyfunction("REGEXEXTRACT(ADDRESS(ROW(), 37+$H385), ""[A-Z]+"")"),"AK")</f>
        <v>AK</v>
      </c>
      <c r="O385" s="89" t="str">
        <f aca="false">IFERROR(__xludf.dummyfunction("REGEXEXTRACT(ADDRESS(ROW(), 38+$H385), ""[A-Z]+"")"),"AL")</f>
        <v>AL</v>
      </c>
      <c r="P385" s="89" t="str">
        <f aca="false">IFERROR(__xludf.dummyfunction("REGEXEXTRACT(ADDRESS(ROW(), 39+$H385), ""[A-Z]+"")"),"AM")</f>
        <v>AM</v>
      </c>
      <c r="Q385" s="89" t="str">
        <f aca="false">IFERROR(__xludf.dummyfunction("REGEXEXTRACT(ADDRESS(ROW(), 40+$H385), ""[A-Z]+"")"),"AN")</f>
        <v>AN</v>
      </c>
      <c r="R385" s="89" t="str">
        <f aca="false">IFERROR(__xludf.dummyfunction("IFERROR(QUERY(INDIRECT(""'""&amp;$F385&amp;""'!C3:""&amp;Q385&amp;""""), ""SELECT ""&amp;I385&amp;"", ""&amp;J385&amp;"", ""&amp;K385&amp;"", ""&amp;L385&amp;"", ""&amp;M385&amp;"", ""&amp;N385&amp;"", ""&amp;O385&amp;"", ""&amp;P385&amp;"" WHERE '""&amp;B385&amp;""' CONTAINS D"", 0), """")"),"")</f>
        <v/>
      </c>
      <c r="S385" s="89"/>
      <c r="T385" s="89"/>
      <c r="U385" s="89"/>
      <c r="V385" s="89" t="n">
        <f aca="false">IFERROR(__xludf.dummyfunction("""COMPUTED_VALUE"""),0.02)</f>
        <v>0.02</v>
      </c>
      <c r="W385" s="89"/>
      <c r="X385" s="89" t="n">
        <f aca="false">IFERROR(__xludf.dummyfunction("""COMPUTED_VALUE"""),0)</f>
        <v>0</v>
      </c>
      <c r="Y385" s="89" t="n">
        <f aca="false">IFERROR(__xludf.dummyfunction("""COMPUTED_VALUE"""),0.02)</f>
        <v>0.02</v>
      </c>
    </row>
    <row r="386" customFormat="false" ht="17.9" hidden="false" customHeight="false" outlineLevel="0" collapsed="false">
      <c r="A386" s="85" t="n">
        <v>385</v>
      </c>
      <c r="B386" s="85" t="n">
        <v>475237</v>
      </c>
      <c r="C386" s="86" t="s">
        <v>486</v>
      </c>
      <c r="D386" s="87" t="s">
        <v>121</v>
      </c>
      <c r="E386" s="88" t="str">
        <f aca="false">D386</f>
        <v>P3120</v>
      </c>
      <c r="F386" s="88" t="str">
        <f aca="false">REPLACE(E386, 1, 3, "")</f>
        <v>20</v>
      </c>
      <c r="G386" s="89" t="str">
        <f aca="true">IFERROR(VLOOKUP(B386,INDIRECT("'"&amp;$F386&amp;"'!D3:D"),1,FALSE()), "Not found")</f>
        <v>Not found</v>
      </c>
      <c r="H386" s="89" t="n">
        <f aca="true">INDIRECT("'"&amp;$F386&amp;"'!D1")</f>
        <v>5</v>
      </c>
      <c r="I386" s="89" t="str">
        <f aca="false">IFERROR(__xludf.dummyfunction("REGEXEXTRACT(ADDRESS(ROW(), 19+$H386), ""[A-Z]+"")"),"X")</f>
        <v>X</v>
      </c>
      <c r="J386" s="89" t="str">
        <f aca="false">IFERROR(__xludf.dummyfunction("REGEXEXTRACT(ADDRESS(ROW(), 25+$H386), ""[A-Z]+"")"),"AD")</f>
        <v>AD</v>
      </c>
      <c r="K386" s="89" t="str">
        <f aca="false">IFERROR(__xludf.dummyfunction("REGEXEXTRACT(ADDRESS(ROW(), 27+$H386), ""[A-Z]+"")"),"AF")</f>
        <v>AF</v>
      </c>
      <c r="L386" s="89" t="str">
        <f aca="false">IFERROR(__xludf.dummyfunction("REGEXEXTRACT(ADDRESS(ROW(), 28+$H386), ""[A-Z]+"")"),"AG")</f>
        <v>AG</v>
      </c>
      <c r="M386" s="89" t="str">
        <f aca="false">IFERROR(__xludf.dummyfunction("REGEXEXTRACT(ADDRESS(ROW(), 34+$H386), ""[A-Z]+"")"),"AM")</f>
        <v>AM</v>
      </c>
      <c r="N386" s="89" t="str">
        <f aca="false">IFERROR(__xludf.dummyfunction("REGEXEXTRACT(ADDRESS(ROW(), 37+$H386), ""[A-Z]+"")"),"AP")</f>
        <v>AP</v>
      </c>
      <c r="O386" s="89" t="str">
        <f aca="false">IFERROR(__xludf.dummyfunction("REGEXEXTRACT(ADDRESS(ROW(), 38+$H386), ""[A-Z]+"")"),"AQ")</f>
        <v>AQ</v>
      </c>
      <c r="P386" s="89" t="str">
        <f aca="false">IFERROR(__xludf.dummyfunction("REGEXEXTRACT(ADDRESS(ROW(), 39+$H386), ""[A-Z]+"")"),"AR")</f>
        <v>AR</v>
      </c>
      <c r="Q386" s="89" t="str">
        <f aca="false">IFERROR(__xludf.dummyfunction("REGEXEXTRACT(ADDRESS(ROW(), 40+$H386), ""[A-Z]+"")"),"AS")</f>
        <v>AS</v>
      </c>
      <c r="R386" s="89" t="n">
        <f aca="false">IFERROR(__xludf.dummyfunction("IFERROR(QUERY(INDIRECT(""'""&amp;$F386&amp;""'!C3:""&amp;Q386&amp;""""), ""SELECT ""&amp;I386&amp;"", ""&amp;J386&amp;"", ""&amp;K386&amp;"", ""&amp;L386&amp;"", ""&amp;M386&amp;"", ""&amp;N386&amp;"", ""&amp;O386&amp;"", ""&amp;P386&amp;"" WHERE '""&amp;B386&amp;""' CONTAINS D"", 0), """")"),18)</f>
        <v>18</v>
      </c>
      <c r="S386" s="89" t="n">
        <f aca="false">IFERROR(__xludf.dummyfunction("""COMPUTED_VALUE"""),12)</f>
        <v>12</v>
      </c>
      <c r="T386" s="89"/>
      <c r="U386" s="89"/>
      <c r="V386" s="89" t="n">
        <f aca="false">IFERROR(__xludf.dummyfunction("""COMPUTED_VALUE"""),6)</f>
        <v>6</v>
      </c>
      <c r="W386" s="89"/>
      <c r="X386" s="89" t="n">
        <f aca="false">IFERROR(__xludf.dummyfunction("""COMPUTED_VALUE"""),27)</f>
        <v>27</v>
      </c>
      <c r="Y386" s="89" t="n">
        <f aca="false">IFERROR(__xludf.dummyfunction("""COMPUTED_VALUE"""),63)</f>
        <v>63</v>
      </c>
    </row>
    <row r="387" customFormat="false" ht="17.9" hidden="false" customHeight="false" outlineLevel="0" collapsed="false">
      <c r="A387" s="85" t="n">
        <v>386</v>
      </c>
      <c r="B387" s="85" t="n">
        <v>468018</v>
      </c>
      <c r="C387" s="86" t="s">
        <v>487</v>
      </c>
      <c r="D387" s="87" t="s">
        <v>139</v>
      </c>
      <c r="E387" s="88" t="str">
        <f aca="false">D387</f>
        <v>P3118</v>
      </c>
      <c r="F387" s="88" t="str">
        <f aca="false">REPLACE(E387, 1, 3, "")</f>
        <v>18</v>
      </c>
      <c r="G387" s="89" t="str">
        <f aca="true">IFERROR(VLOOKUP(B387,INDIRECT("'"&amp;$F387&amp;"'!D3:D"),1,FALSE()), "Not found")</f>
        <v>Not found</v>
      </c>
      <c r="H387" s="89" t="n">
        <f aca="true">INDIRECT("'"&amp;$F387&amp;"'!D1")</f>
        <v>0</v>
      </c>
      <c r="I387" s="89" t="str">
        <f aca="false">IFERROR(__xludf.dummyfunction("REGEXEXTRACT(ADDRESS(ROW(), 19+$H387), ""[A-Z]+"")"),"S")</f>
        <v>S</v>
      </c>
      <c r="J387" s="89" t="str">
        <f aca="false">IFERROR(__xludf.dummyfunction("REGEXEXTRACT(ADDRESS(ROW(), 25+$H387), ""[A-Z]+"")"),"Y")</f>
        <v>Y</v>
      </c>
      <c r="K387" s="89" t="str">
        <f aca="false">IFERROR(__xludf.dummyfunction("REGEXEXTRACT(ADDRESS(ROW(), 27+$H387), ""[A-Z]+"")"),"AA")</f>
        <v>AA</v>
      </c>
      <c r="L387" s="89" t="str">
        <f aca="false">IFERROR(__xludf.dummyfunction("REGEXEXTRACT(ADDRESS(ROW(), 28+$H387), ""[A-Z]+"")"),"AB")</f>
        <v>AB</v>
      </c>
      <c r="M387" s="89" t="str">
        <f aca="false">IFERROR(__xludf.dummyfunction("REGEXEXTRACT(ADDRESS(ROW(), 34+$H387), ""[A-Z]+"")"),"AH")</f>
        <v>AH</v>
      </c>
      <c r="N387" s="89" t="str">
        <f aca="false">IFERROR(__xludf.dummyfunction("REGEXEXTRACT(ADDRESS(ROW(), 37+$H387), ""[A-Z]+"")"),"AK")</f>
        <v>AK</v>
      </c>
      <c r="O387" s="89" t="str">
        <f aca="false">IFERROR(__xludf.dummyfunction("REGEXEXTRACT(ADDRESS(ROW(), 38+$H387), ""[A-Z]+"")"),"AL")</f>
        <v>AL</v>
      </c>
      <c r="P387" s="89" t="str">
        <f aca="false">IFERROR(__xludf.dummyfunction("REGEXEXTRACT(ADDRESS(ROW(), 39+$H387), ""[A-Z]+"")"),"AM")</f>
        <v>AM</v>
      </c>
      <c r="Q387" s="89" t="str">
        <f aca="false">IFERROR(__xludf.dummyfunction("REGEXEXTRACT(ADDRESS(ROW(), 40+$H387), ""[A-Z]+"")"),"AN")</f>
        <v>AN</v>
      </c>
      <c r="R387" s="89" t="n">
        <f aca="false">IFERROR(__xludf.dummyfunction("IFERROR(QUERY(INDIRECT(""'""&amp;$F387&amp;""'!C3:""&amp;Q387&amp;""""), ""SELECT ""&amp;I387&amp;"", ""&amp;J387&amp;"", ""&amp;K387&amp;"", ""&amp;L387&amp;"", ""&amp;M387&amp;"", ""&amp;N387&amp;"", ""&amp;O387&amp;"", ""&amp;P387&amp;"" WHERE '""&amp;B387&amp;""' CONTAINS D"", 0), """")"),18.6)</f>
        <v>18.6</v>
      </c>
      <c r="S387" s="89" t="n">
        <f aca="false">IFERROR(__xludf.dummyfunction("""COMPUTED_VALUE"""),18.7)</f>
        <v>18.7</v>
      </c>
      <c r="T387" s="89"/>
      <c r="U387" s="89"/>
      <c r="V387" s="89" t="n">
        <f aca="false">IFERROR(__xludf.dummyfunction("""COMPUTED_VALUE"""),6)</f>
        <v>6</v>
      </c>
      <c r="W387" s="89"/>
      <c r="X387" s="89" t="n">
        <f aca="false">IFERROR(__xludf.dummyfunction("""COMPUTED_VALUE"""),36)</f>
        <v>36</v>
      </c>
      <c r="Y387" s="89" t="n">
        <f aca="false">IFERROR(__xludf.dummyfunction("""COMPUTED_VALUE"""),79.3)</f>
        <v>79.3</v>
      </c>
    </row>
    <row r="388" customFormat="false" ht="17.9" hidden="false" customHeight="false" outlineLevel="0" collapsed="false">
      <c r="A388" s="85" t="n">
        <v>387</v>
      </c>
      <c r="B388" s="85" t="n">
        <v>468030</v>
      </c>
      <c r="C388" s="86" t="s">
        <v>488</v>
      </c>
      <c r="D388" s="87" t="s">
        <v>93</v>
      </c>
      <c r="E388" s="88" t="str">
        <f aca="false">D388</f>
        <v>P3114</v>
      </c>
      <c r="F388" s="88" t="str">
        <f aca="false">REPLACE(E388, 1, 3, "")</f>
        <v>14</v>
      </c>
      <c r="G388" s="89" t="str">
        <f aca="true">IFERROR(VLOOKUP(B388,INDIRECT("'"&amp;$F388&amp;"'!D3:D"),1,FALSE()), "Not found")</f>
        <v>Not found</v>
      </c>
      <c r="H388" s="89" t="n">
        <f aca="true">INDIRECT("'"&amp;$F388&amp;"'!D1")</f>
        <v>0</v>
      </c>
      <c r="I388" s="89" t="str">
        <f aca="false">IFERROR(__xludf.dummyfunction("REGEXEXTRACT(ADDRESS(ROW(), 19+$H388), ""[A-Z]+"")"),"S")</f>
        <v>S</v>
      </c>
      <c r="J388" s="89" t="str">
        <f aca="false">IFERROR(__xludf.dummyfunction("REGEXEXTRACT(ADDRESS(ROW(), 25+$H388), ""[A-Z]+"")"),"Y")</f>
        <v>Y</v>
      </c>
      <c r="K388" s="89" t="str">
        <f aca="false">IFERROR(__xludf.dummyfunction("REGEXEXTRACT(ADDRESS(ROW(), 27+$H388), ""[A-Z]+"")"),"AA")</f>
        <v>AA</v>
      </c>
      <c r="L388" s="89" t="str">
        <f aca="false">IFERROR(__xludf.dummyfunction("REGEXEXTRACT(ADDRESS(ROW(), 28+$H388), ""[A-Z]+"")"),"AB")</f>
        <v>AB</v>
      </c>
      <c r="M388" s="89" t="str">
        <f aca="false">IFERROR(__xludf.dummyfunction("REGEXEXTRACT(ADDRESS(ROW(), 34+$H388), ""[A-Z]+"")"),"AH")</f>
        <v>AH</v>
      </c>
      <c r="N388" s="89" t="str">
        <f aca="false">IFERROR(__xludf.dummyfunction("REGEXEXTRACT(ADDRESS(ROW(), 37+$H388), ""[A-Z]+"")"),"AK")</f>
        <v>AK</v>
      </c>
      <c r="O388" s="89" t="str">
        <f aca="false">IFERROR(__xludf.dummyfunction("REGEXEXTRACT(ADDRESS(ROW(), 38+$H388), ""[A-Z]+"")"),"AL")</f>
        <v>AL</v>
      </c>
      <c r="P388" s="89" t="str">
        <f aca="false">IFERROR(__xludf.dummyfunction("REGEXEXTRACT(ADDRESS(ROW(), 39+$H388), ""[A-Z]+"")"),"AM")</f>
        <v>AM</v>
      </c>
      <c r="Q388" s="89" t="str">
        <f aca="false">IFERROR(__xludf.dummyfunction("REGEXEXTRACT(ADDRESS(ROW(), 40+$H388), ""[A-Z]+"")"),"AN")</f>
        <v>AN</v>
      </c>
      <c r="R388" s="89" t="n">
        <f aca="false">IFERROR(__xludf.dummyfunction("IFERROR(QUERY(INDIRECT(""'""&amp;$F388&amp;""'!C3:""&amp;Q388&amp;""""), ""SELECT ""&amp;I388&amp;"", ""&amp;J388&amp;"", ""&amp;K388&amp;"", ""&amp;L388&amp;"", ""&amp;M388&amp;"", ""&amp;N388&amp;"", ""&amp;O388&amp;"", ""&amp;P388&amp;"" WHERE '""&amp;B388&amp;""' CONTAINS D"", 0), """")"),18)</f>
        <v>18</v>
      </c>
      <c r="S388" s="89" t="n">
        <f aca="false">IFERROR(__xludf.dummyfunction("""COMPUTED_VALUE"""),20)</f>
        <v>20</v>
      </c>
      <c r="T388" s="89"/>
      <c r="U388" s="89"/>
      <c r="V388" s="89" t="n">
        <f aca="false">IFERROR(__xludf.dummyfunction("""COMPUTED_VALUE"""),10)</f>
        <v>10</v>
      </c>
      <c r="W388" s="89"/>
      <c r="X388" s="89" t="n">
        <f aca="false">IFERROR(__xludf.dummyfunction("""COMPUTED_VALUE"""),40)</f>
        <v>40</v>
      </c>
      <c r="Y388" s="89" t="n">
        <f aca="false">IFERROR(__xludf.dummyfunction("""COMPUTED_VALUE"""),88)</f>
        <v>88</v>
      </c>
    </row>
    <row r="389" customFormat="false" ht="17.9" hidden="false" customHeight="false" outlineLevel="0" collapsed="false">
      <c r="A389" s="85" t="n">
        <v>388</v>
      </c>
      <c r="B389" s="85" t="n">
        <v>407960</v>
      </c>
      <c r="C389" s="86" t="s">
        <v>489</v>
      </c>
      <c r="D389" s="87" t="s">
        <v>117</v>
      </c>
      <c r="E389" s="88" t="str">
        <f aca="false">D389</f>
        <v>P3116</v>
      </c>
      <c r="F389" s="88" t="str">
        <f aca="false">REPLACE(E389, 1, 3, "")</f>
        <v>16</v>
      </c>
      <c r="G389" s="89" t="str">
        <f aca="true">IFERROR(VLOOKUP(B389,INDIRECT("'"&amp;$F389&amp;"'!D3:D"),1,FALSE()), "Not found")</f>
        <v>Not found</v>
      </c>
      <c r="H389" s="89" t="n">
        <f aca="true">INDIRECT("'"&amp;$F389&amp;"'!D1")</f>
        <v>0</v>
      </c>
      <c r="I389" s="89" t="str">
        <f aca="false">IFERROR(__xludf.dummyfunction("REGEXEXTRACT(ADDRESS(ROW(), 19+$H389), ""[A-Z]+"")"),"S")</f>
        <v>S</v>
      </c>
      <c r="J389" s="89" t="str">
        <f aca="false">IFERROR(__xludf.dummyfunction("REGEXEXTRACT(ADDRESS(ROW(), 25+$H389), ""[A-Z]+"")"),"Y")</f>
        <v>Y</v>
      </c>
      <c r="K389" s="89" t="str">
        <f aca="false">IFERROR(__xludf.dummyfunction("REGEXEXTRACT(ADDRESS(ROW(), 27+$H389), ""[A-Z]+"")"),"AA")</f>
        <v>AA</v>
      </c>
      <c r="L389" s="89" t="str">
        <f aca="false">IFERROR(__xludf.dummyfunction("REGEXEXTRACT(ADDRESS(ROW(), 28+$H389), ""[A-Z]+"")"),"AB")</f>
        <v>AB</v>
      </c>
      <c r="M389" s="89" t="str">
        <f aca="false">IFERROR(__xludf.dummyfunction("REGEXEXTRACT(ADDRESS(ROW(), 34+$H389), ""[A-Z]+"")"),"AH")</f>
        <v>AH</v>
      </c>
      <c r="N389" s="89" t="str">
        <f aca="false">IFERROR(__xludf.dummyfunction("REGEXEXTRACT(ADDRESS(ROW(), 37+$H389), ""[A-Z]+"")"),"AK")</f>
        <v>AK</v>
      </c>
      <c r="O389" s="89" t="str">
        <f aca="false">IFERROR(__xludf.dummyfunction("REGEXEXTRACT(ADDRESS(ROW(), 38+$H389), ""[A-Z]+"")"),"AL")</f>
        <v>AL</v>
      </c>
      <c r="P389" s="89" t="str">
        <f aca="false">IFERROR(__xludf.dummyfunction("REGEXEXTRACT(ADDRESS(ROW(), 39+$H389), ""[A-Z]+"")"),"AM")</f>
        <v>AM</v>
      </c>
      <c r="Q389" s="89" t="str">
        <f aca="false">IFERROR(__xludf.dummyfunction("REGEXEXTRACT(ADDRESS(ROW(), 40+$H389), ""[A-Z]+"")"),"AN")</f>
        <v>AN</v>
      </c>
      <c r="R389" s="89" t="n">
        <f aca="false">IFERROR(__xludf.dummyfunction("IFERROR(QUERY(INDIRECT(""'""&amp;$F389&amp;""'!C3:""&amp;Q389&amp;""""), ""SELECT ""&amp;I389&amp;"", ""&amp;J389&amp;"", ""&amp;K389&amp;"", ""&amp;L389&amp;"", ""&amp;M389&amp;"", ""&amp;N389&amp;"", ""&amp;O389&amp;"", ""&amp;P389&amp;"" WHERE '""&amp;B389&amp;""' CONTAINS D"", 0), """")"),18)</f>
        <v>18</v>
      </c>
      <c r="S389" s="89" t="n">
        <f aca="false">IFERROR(__xludf.dummyfunction("""COMPUTED_VALUE"""),15)</f>
        <v>15</v>
      </c>
      <c r="T389" s="89"/>
      <c r="U389" s="89"/>
      <c r="V389" s="89" t="n">
        <f aca="false">IFERROR(__xludf.dummyfunction("""COMPUTED_VALUE"""),9)</f>
        <v>9</v>
      </c>
      <c r="W389" s="89"/>
      <c r="X389" s="89" t="n">
        <f aca="false">IFERROR(__xludf.dummyfunction("""COMPUTED_VALUE"""),25)</f>
        <v>25</v>
      </c>
      <c r="Y389" s="89" t="n">
        <f aca="false">IFERROR(__xludf.dummyfunction("""COMPUTED_VALUE"""),67)</f>
        <v>67</v>
      </c>
    </row>
    <row r="390" customFormat="false" ht="17.9" hidden="false" customHeight="false" outlineLevel="0" collapsed="false">
      <c r="A390" s="85" t="n">
        <v>389</v>
      </c>
      <c r="B390" s="85" t="n">
        <v>468045</v>
      </c>
      <c r="C390" s="86" t="s">
        <v>490</v>
      </c>
      <c r="D390" s="87" t="s">
        <v>117</v>
      </c>
      <c r="E390" s="88" t="str">
        <f aca="false">D390</f>
        <v>P3116</v>
      </c>
      <c r="F390" s="88" t="str">
        <f aca="false">REPLACE(E390, 1, 3, "")</f>
        <v>16</v>
      </c>
      <c r="G390" s="89" t="str">
        <f aca="true">IFERROR(VLOOKUP(B390,INDIRECT("'"&amp;$F390&amp;"'!D3:D"),1,FALSE()), "Not found")</f>
        <v>Not found</v>
      </c>
      <c r="H390" s="89" t="n">
        <f aca="true">INDIRECT("'"&amp;$F390&amp;"'!D1")</f>
        <v>0</v>
      </c>
      <c r="I390" s="89" t="str">
        <f aca="false">IFERROR(__xludf.dummyfunction("REGEXEXTRACT(ADDRESS(ROW(), 19+$H390), ""[A-Z]+"")"),"S")</f>
        <v>S</v>
      </c>
      <c r="J390" s="89" t="str">
        <f aca="false">IFERROR(__xludf.dummyfunction("REGEXEXTRACT(ADDRESS(ROW(), 25+$H390), ""[A-Z]+"")"),"Y")</f>
        <v>Y</v>
      </c>
      <c r="K390" s="89" t="str">
        <f aca="false">IFERROR(__xludf.dummyfunction("REGEXEXTRACT(ADDRESS(ROW(), 27+$H390), ""[A-Z]+"")"),"AA")</f>
        <v>AA</v>
      </c>
      <c r="L390" s="89" t="str">
        <f aca="false">IFERROR(__xludf.dummyfunction("REGEXEXTRACT(ADDRESS(ROW(), 28+$H390), ""[A-Z]+"")"),"AB")</f>
        <v>AB</v>
      </c>
      <c r="M390" s="89" t="str">
        <f aca="false">IFERROR(__xludf.dummyfunction("REGEXEXTRACT(ADDRESS(ROW(), 34+$H390), ""[A-Z]+"")"),"AH")</f>
        <v>AH</v>
      </c>
      <c r="N390" s="89" t="str">
        <f aca="false">IFERROR(__xludf.dummyfunction("REGEXEXTRACT(ADDRESS(ROW(), 37+$H390), ""[A-Z]+"")"),"AK")</f>
        <v>AK</v>
      </c>
      <c r="O390" s="89" t="str">
        <f aca="false">IFERROR(__xludf.dummyfunction("REGEXEXTRACT(ADDRESS(ROW(), 38+$H390), ""[A-Z]+"")"),"AL")</f>
        <v>AL</v>
      </c>
      <c r="P390" s="89" t="str">
        <f aca="false">IFERROR(__xludf.dummyfunction("REGEXEXTRACT(ADDRESS(ROW(), 39+$H390), ""[A-Z]+"")"),"AM")</f>
        <v>AM</v>
      </c>
      <c r="Q390" s="89" t="str">
        <f aca="false">IFERROR(__xludf.dummyfunction("REGEXEXTRACT(ADDRESS(ROW(), 40+$H390), ""[A-Z]+"")"),"AN")</f>
        <v>AN</v>
      </c>
      <c r="R390" s="89" t="n">
        <f aca="false">IFERROR(__xludf.dummyfunction("IFERROR(QUERY(INDIRECT(""'""&amp;$F390&amp;""'!C3:""&amp;Q390&amp;""""), ""SELECT ""&amp;I390&amp;"", ""&amp;J390&amp;"", ""&amp;K390&amp;"", ""&amp;L390&amp;"", ""&amp;M390&amp;"", ""&amp;N390&amp;"", ""&amp;O390&amp;"", ""&amp;P390&amp;"" WHERE '""&amp;B390&amp;""' CONTAINS D"", 0), """")"),20)</f>
        <v>20</v>
      </c>
      <c r="S390" s="89" t="n">
        <f aca="false">IFERROR(__xludf.dummyfunction("""COMPUTED_VALUE"""),20)</f>
        <v>20</v>
      </c>
      <c r="T390" s="89"/>
      <c r="U390" s="89"/>
      <c r="V390" s="89" t="n">
        <f aca="false">IFERROR(__xludf.dummyfunction("""COMPUTED_VALUE"""),10)</f>
        <v>10</v>
      </c>
      <c r="W390" s="89"/>
      <c r="X390" s="89" t="n">
        <f aca="false">IFERROR(__xludf.dummyfunction("""COMPUTED_VALUE"""),40)</f>
        <v>40</v>
      </c>
      <c r="Y390" s="89" t="n">
        <f aca="false">IFERROR(__xludf.dummyfunction("""COMPUTED_VALUE"""),90)</f>
        <v>90</v>
      </c>
    </row>
    <row r="391" customFormat="false" ht="17.9" hidden="false" customHeight="false" outlineLevel="0" collapsed="false">
      <c r="A391" s="85" t="n">
        <v>390</v>
      </c>
      <c r="B391" s="85" t="n">
        <v>476020</v>
      </c>
      <c r="C391" s="86" t="s">
        <v>491</v>
      </c>
      <c r="D391" s="87" t="s">
        <v>157</v>
      </c>
      <c r="E391" s="88" t="str">
        <f aca="false">D391</f>
        <v>P3123</v>
      </c>
      <c r="F391" s="88" t="str">
        <f aca="false">REPLACE(E391, 1, 3, "")</f>
        <v>23</v>
      </c>
      <c r="G391" s="89" t="str">
        <f aca="true">IFERROR(VLOOKUP(B391,INDIRECT("'"&amp;$F391&amp;"'!D3:D"),1,FALSE()), "Not found")</f>
        <v>Not found</v>
      </c>
      <c r="H391" s="89" t="n">
        <f aca="true">INDIRECT("'"&amp;$F391&amp;"'!D1")</f>
        <v>1</v>
      </c>
      <c r="I391" s="89" t="str">
        <f aca="false">IFERROR(__xludf.dummyfunction("REGEXEXTRACT(ADDRESS(ROW(), 19+$H391), ""[A-Z]+"")"),"T")</f>
        <v>T</v>
      </c>
      <c r="J391" s="89" t="str">
        <f aca="false">IFERROR(__xludf.dummyfunction("REGEXEXTRACT(ADDRESS(ROW(), 25+$H391), ""[A-Z]+"")"),"Z")</f>
        <v>Z</v>
      </c>
      <c r="K391" s="89" t="str">
        <f aca="false">IFERROR(__xludf.dummyfunction("REGEXEXTRACT(ADDRESS(ROW(), 27+$H391), ""[A-Z]+"")"),"AB")</f>
        <v>AB</v>
      </c>
      <c r="L391" s="89" t="str">
        <f aca="false">IFERROR(__xludf.dummyfunction("REGEXEXTRACT(ADDRESS(ROW(), 28+$H391), ""[A-Z]+"")"),"AC")</f>
        <v>AC</v>
      </c>
      <c r="M391" s="89" t="str">
        <f aca="false">IFERROR(__xludf.dummyfunction("REGEXEXTRACT(ADDRESS(ROW(), 34+$H391), ""[A-Z]+"")"),"AI")</f>
        <v>AI</v>
      </c>
      <c r="N391" s="89" t="str">
        <f aca="false">IFERROR(__xludf.dummyfunction("REGEXEXTRACT(ADDRESS(ROW(), 37+$H391), ""[A-Z]+"")"),"AL")</f>
        <v>AL</v>
      </c>
      <c r="O391" s="89" t="str">
        <f aca="false">IFERROR(__xludf.dummyfunction("REGEXEXTRACT(ADDRESS(ROW(), 38+$H391), ""[A-Z]+"")"),"AM")</f>
        <v>AM</v>
      </c>
      <c r="P391" s="89" t="str">
        <f aca="false">IFERROR(__xludf.dummyfunction("REGEXEXTRACT(ADDRESS(ROW(), 39+$H391), ""[A-Z]+"")"),"AN")</f>
        <v>AN</v>
      </c>
      <c r="Q391" s="89" t="str">
        <f aca="false">IFERROR(__xludf.dummyfunction("REGEXEXTRACT(ADDRESS(ROW(), 40+$H391), ""[A-Z]+"")"),"AO")</f>
        <v>AO</v>
      </c>
      <c r="R391" s="89" t="str">
        <f aca="false">IFERROR(__xludf.dummyfunction("IFERROR(QUERY(INDIRECT(""'""&amp;$F391&amp;""'!C3:""&amp;Q391&amp;""""), ""SELECT ""&amp;I391&amp;"", ""&amp;J391&amp;"", ""&amp;K391&amp;"", ""&amp;L391&amp;"", ""&amp;M391&amp;"", ""&amp;N391&amp;"", ""&amp;O391&amp;"", ""&amp;P391&amp;"" WHERE '""&amp;B391&amp;""' CONTAINS D"", 0), """")"),"")</f>
        <v/>
      </c>
      <c r="S391" s="89"/>
      <c r="T391" s="89"/>
      <c r="U391" s="89"/>
      <c r="V391" s="89" t="n">
        <f aca="false">IFERROR(__xludf.dummyfunction("""COMPUTED_VALUE"""),0.2)</f>
        <v>0.2</v>
      </c>
      <c r="W391" s="89"/>
      <c r="X391" s="89"/>
      <c r="Y391" s="89" t="n">
        <f aca="false">IFERROR(__xludf.dummyfunction("""COMPUTED_VALUE"""),0.2)</f>
        <v>0.2</v>
      </c>
    </row>
    <row r="392" customFormat="false" ht="17.9" hidden="false" customHeight="false" outlineLevel="0" collapsed="false">
      <c r="A392" s="85" t="n">
        <v>391</v>
      </c>
      <c r="B392" s="85" t="n">
        <v>472664</v>
      </c>
      <c r="C392" s="86" t="s">
        <v>492</v>
      </c>
      <c r="D392" s="87" t="s">
        <v>85</v>
      </c>
      <c r="E392" s="88" t="str">
        <f aca="false">D392</f>
        <v>P3132</v>
      </c>
      <c r="F392" s="88" t="str">
        <f aca="false">REPLACE(E392, 1, 3, "")</f>
        <v>32</v>
      </c>
      <c r="G392" s="89" t="str">
        <f aca="true">IFERROR(VLOOKUP(B392,INDIRECT("'"&amp;$F392&amp;"'!D3:D"),1,FALSE()), "Not found")</f>
        <v>Not found</v>
      </c>
      <c r="H392" s="89" t="n">
        <f aca="true">INDIRECT("'"&amp;$F392&amp;"'!D1")</f>
        <v>0</v>
      </c>
      <c r="I392" s="89" t="str">
        <f aca="false">IFERROR(__xludf.dummyfunction("REGEXEXTRACT(ADDRESS(ROW(), 19+$H392), ""[A-Z]+"")"),"S")</f>
        <v>S</v>
      </c>
      <c r="J392" s="89" t="str">
        <f aca="false">IFERROR(__xludf.dummyfunction("REGEXEXTRACT(ADDRESS(ROW(), 25+$H392), ""[A-Z]+"")"),"Y")</f>
        <v>Y</v>
      </c>
      <c r="K392" s="89" t="str">
        <f aca="false">IFERROR(__xludf.dummyfunction("REGEXEXTRACT(ADDRESS(ROW(), 27+$H392), ""[A-Z]+"")"),"AA")</f>
        <v>AA</v>
      </c>
      <c r="L392" s="89" t="str">
        <f aca="false">IFERROR(__xludf.dummyfunction("REGEXEXTRACT(ADDRESS(ROW(), 28+$H392), ""[A-Z]+"")"),"AB")</f>
        <v>AB</v>
      </c>
      <c r="M392" s="89" t="str">
        <f aca="false">IFERROR(__xludf.dummyfunction("REGEXEXTRACT(ADDRESS(ROW(), 34+$H392), ""[A-Z]+"")"),"AH")</f>
        <v>AH</v>
      </c>
      <c r="N392" s="89" t="str">
        <f aca="false">IFERROR(__xludf.dummyfunction("REGEXEXTRACT(ADDRESS(ROW(), 37+$H392), ""[A-Z]+"")"),"AK")</f>
        <v>AK</v>
      </c>
      <c r="O392" s="89" t="str">
        <f aca="false">IFERROR(__xludf.dummyfunction("REGEXEXTRACT(ADDRESS(ROW(), 38+$H392), ""[A-Z]+"")"),"AL")</f>
        <v>AL</v>
      </c>
      <c r="P392" s="89" t="str">
        <f aca="false">IFERROR(__xludf.dummyfunction("REGEXEXTRACT(ADDRESS(ROW(), 39+$H392), ""[A-Z]+"")"),"AM")</f>
        <v>AM</v>
      </c>
      <c r="Q392" s="89" t="str">
        <f aca="false">IFERROR(__xludf.dummyfunction("REGEXEXTRACT(ADDRESS(ROW(), 40+$H392), ""[A-Z]+"")"),"AN")</f>
        <v>AN</v>
      </c>
      <c r="R392" s="89" t="n">
        <f aca="false">IFERROR(__xludf.dummyfunction("IFERROR(QUERY(INDIRECT(""'""&amp;$F392&amp;""'!C3:""&amp;Q392&amp;""""), ""SELECT ""&amp;I392&amp;"", ""&amp;J392&amp;"", ""&amp;K392&amp;"", ""&amp;L392&amp;"", ""&amp;M392&amp;"", ""&amp;N392&amp;"", ""&amp;O392&amp;"", ""&amp;P392&amp;"" WHERE '""&amp;B392&amp;""' CONTAINS D"", 0), """")"),17)</f>
        <v>17</v>
      </c>
      <c r="S392" s="89" t="n">
        <f aca="false">IFERROR(__xludf.dummyfunction("""COMPUTED_VALUE"""),14)</f>
        <v>14</v>
      </c>
      <c r="T392" s="89"/>
      <c r="U392" s="89"/>
      <c r="V392" s="89" t="n">
        <f aca="false">IFERROR(__xludf.dummyfunction("""COMPUTED_VALUE"""),6)</f>
        <v>6</v>
      </c>
      <c r="W392" s="89"/>
      <c r="X392" s="89" t="n">
        <f aca="false">IFERROR(__xludf.dummyfunction("""COMPUTED_VALUE"""),24)</f>
        <v>24</v>
      </c>
      <c r="Y392" s="89" t="n">
        <f aca="false">IFERROR(__xludf.dummyfunction("""COMPUTED_VALUE"""),61)</f>
        <v>61</v>
      </c>
    </row>
    <row r="393" customFormat="false" ht="17.9" hidden="false" customHeight="false" outlineLevel="0" collapsed="false">
      <c r="A393" s="85" t="n">
        <v>392</v>
      </c>
      <c r="B393" s="85" t="n">
        <v>468074</v>
      </c>
      <c r="C393" s="86" t="s">
        <v>493</v>
      </c>
      <c r="D393" s="87" t="s">
        <v>95</v>
      </c>
      <c r="E393" s="88" t="str">
        <f aca="false">D393</f>
        <v>P3106</v>
      </c>
      <c r="F393" s="88" t="str">
        <f aca="false">REPLACE(E393, 1, 3, "")</f>
        <v>06</v>
      </c>
      <c r="G393" s="89" t="str">
        <f aca="true">IFERROR(VLOOKUP(B393,INDIRECT("'"&amp;$F393&amp;"'!D3:D"),1,FALSE()), "Not found")</f>
        <v>Not found</v>
      </c>
      <c r="H393" s="89" t="n">
        <f aca="true">INDIRECT("'"&amp;$F393&amp;"'!D1")</f>
        <v>0</v>
      </c>
      <c r="I393" s="89" t="str">
        <f aca="false">IFERROR(__xludf.dummyfunction("REGEXEXTRACT(ADDRESS(ROW(), 19+$H393), ""[A-Z]+"")"),"S")</f>
        <v>S</v>
      </c>
      <c r="J393" s="89" t="str">
        <f aca="false">IFERROR(__xludf.dummyfunction("REGEXEXTRACT(ADDRESS(ROW(), 25+$H393), ""[A-Z]+"")"),"Y")</f>
        <v>Y</v>
      </c>
      <c r="K393" s="89" t="str">
        <f aca="false">IFERROR(__xludf.dummyfunction("REGEXEXTRACT(ADDRESS(ROW(), 27+$H393), ""[A-Z]+"")"),"AA")</f>
        <v>AA</v>
      </c>
      <c r="L393" s="89" t="str">
        <f aca="false">IFERROR(__xludf.dummyfunction("REGEXEXTRACT(ADDRESS(ROW(), 28+$H393), ""[A-Z]+"")"),"AB")</f>
        <v>AB</v>
      </c>
      <c r="M393" s="89" t="str">
        <f aca="false">IFERROR(__xludf.dummyfunction("REGEXEXTRACT(ADDRESS(ROW(), 34+$H393), ""[A-Z]+"")"),"AH")</f>
        <v>AH</v>
      </c>
      <c r="N393" s="89" t="str">
        <f aca="false">IFERROR(__xludf.dummyfunction("REGEXEXTRACT(ADDRESS(ROW(), 37+$H393), ""[A-Z]+"")"),"AK")</f>
        <v>AK</v>
      </c>
      <c r="O393" s="89" t="str">
        <f aca="false">IFERROR(__xludf.dummyfunction("REGEXEXTRACT(ADDRESS(ROW(), 38+$H393), ""[A-Z]+"")"),"AL")</f>
        <v>AL</v>
      </c>
      <c r="P393" s="89" t="str">
        <f aca="false">IFERROR(__xludf.dummyfunction("REGEXEXTRACT(ADDRESS(ROW(), 39+$H393), ""[A-Z]+"")"),"AM")</f>
        <v>AM</v>
      </c>
      <c r="Q393" s="89" t="str">
        <f aca="false">IFERROR(__xludf.dummyfunction("REGEXEXTRACT(ADDRESS(ROW(), 40+$H393), ""[A-Z]+"")"),"AN")</f>
        <v>AN</v>
      </c>
      <c r="R393" s="89" t="n">
        <f aca="false">IFERROR(__xludf.dummyfunction("IFERROR(QUERY(INDIRECT(""'""&amp;$F393&amp;""'!C3:""&amp;Q393&amp;""""), ""SELECT ""&amp;I393&amp;"", ""&amp;J393&amp;"", ""&amp;K393&amp;"", ""&amp;L393&amp;"", ""&amp;M393&amp;"", ""&amp;N393&amp;"", ""&amp;O393&amp;"", ""&amp;P393&amp;"" WHERE '""&amp;B393&amp;""' CONTAINS D"", 0), """")"),18)</f>
        <v>18</v>
      </c>
      <c r="S393" s="89" t="n">
        <f aca="false">IFERROR(__xludf.dummyfunction("""COMPUTED_VALUE"""),17)</f>
        <v>17</v>
      </c>
      <c r="T393" s="89"/>
      <c r="U393" s="89"/>
      <c r="V393" s="89" t="n">
        <f aca="false">IFERROR(__xludf.dummyfunction("""COMPUTED_VALUE"""),10)</f>
        <v>10</v>
      </c>
      <c r="W393" s="89" t="n">
        <f aca="false">IFERROR(__xludf.dummyfunction("""COMPUTED_VALUE"""),3)</f>
        <v>3</v>
      </c>
      <c r="X393" s="89" t="n">
        <f aca="false">IFERROR(__xludf.dummyfunction("""COMPUTED_VALUE"""),40)</f>
        <v>40</v>
      </c>
      <c r="Y393" s="89" t="n">
        <f aca="false">IFERROR(__xludf.dummyfunction("""COMPUTED_VALUE"""),88)</f>
        <v>88</v>
      </c>
    </row>
    <row r="394" customFormat="false" ht="17.9" hidden="false" customHeight="false" outlineLevel="0" collapsed="false">
      <c r="A394" s="85" t="n">
        <v>393</v>
      </c>
      <c r="B394" s="85" t="n">
        <v>468098</v>
      </c>
      <c r="C394" s="86" t="s">
        <v>494</v>
      </c>
      <c r="D394" s="87" t="s">
        <v>87</v>
      </c>
      <c r="E394" s="88" t="str">
        <f aca="false">D394</f>
        <v>P3130</v>
      </c>
      <c r="F394" s="88" t="str">
        <f aca="false">REPLACE(E394, 1, 3, "")</f>
        <v>30</v>
      </c>
      <c r="G394" s="89" t="str">
        <f aca="true">IFERROR(VLOOKUP(B394,INDIRECT("'"&amp;$F394&amp;"'!D3:D"),1,FALSE()), "Not found")</f>
        <v>Not found</v>
      </c>
      <c r="H394" s="89" t="n">
        <f aca="true">INDIRECT("'"&amp;$F394&amp;"'!D1")</f>
        <v>0</v>
      </c>
      <c r="I394" s="89" t="str">
        <f aca="false">IFERROR(__xludf.dummyfunction("REGEXEXTRACT(ADDRESS(ROW(), 19+$H394), ""[A-Z]+"")"),"S")</f>
        <v>S</v>
      </c>
      <c r="J394" s="89" t="str">
        <f aca="false">IFERROR(__xludf.dummyfunction("REGEXEXTRACT(ADDRESS(ROW(), 25+$H394), ""[A-Z]+"")"),"Y")</f>
        <v>Y</v>
      </c>
      <c r="K394" s="89" t="str">
        <f aca="false">IFERROR(__xludf.dummyfunction("REGEXEXTRACT(ADDRESS(ROW(), 27+$H394), ""[A-Z]+"")"),"AA")</f>
        <v>AA</v>
      </c>
      <c r="L394" s="89" t="str">
        <f aca="false">IFERROR(__xludf.dummyfunction("REGEXEXTRACT(ADDRESS(ROW(), 28+$H394), ""[A-Z]+"")"),"AB")</f>
        <v>AB</v>
      </c>
      <c r="M394" s="89" t="str">
        <f aca="false">IFERROR(__xludf.dummyfunction("REGEXEXTRACT(ADDRESS(ROW(), 34+$H394), ""[A-Z]+"")"),"AH")</f>
        <v>AH</v>
      </c>
      <c r="N394" s="89" t="str">
        <f aca="false">IFERROR(__xludf.dummyfunction("REGEXEXTRACT(ADDRESS(ROW(), 37+$H394), ""[A-Z]+"")"),"AK")</f>
        <v>AK</v>
      </c>
      <c r="O394" s="89" t="str">
        <f aca="false">IFERROR(__xludf.dummyfunction("REGEXEXTRACT(ADDRESS(ROW(), 38+$H394), ""[A-Z]+"")"),"AL")</f>
        <v>AL</v>
      </c>
      <c r="P394" s="89" t="str">
        <f aca="false">IFERROR(__xludf.dummyfunction("REGEXEXTRACT(ADDRESS(ROW(), 39+$H394), ""[A-Z]+"")"),"AM")</f>
        <v>AM</v>
      </c>
      <c r="Q394" s="89" t="str">
        <f aca="false">IFERROR(__xludf.dummyfunction("REGEXEXTRACT(ADDRESS(ROW(), 40+$H394), ""[A-Z]+"")"),"AN")</f>
        <v>AN</v>
      </c>
      <c r="R394" s="89" t="n">
        <f aca="false">IFERROR(__xludf.dummyfunction("IFERROR(QUERY(INDIRECT(""'""&amp;$F394&amp;""'!C3:""&amp;Q394&amp;""""), ""SELECT ""&amp;I394&amp;"", ""&amp;J394&amp;"", ""&amp;K394&amp;"", ""&amp;L394&amp;"", ""&amp;M394&amp;"", ""&amp;N394&amp;"", ""&amp;O394&amp;"", ""&amp;P394&amp;"" WHERE '""&amp;B394&amp;""' CONTAINS D"", 0), """")"),12)</f>
        <v>12</v>
      </c>
      <c r="S394" s="89" t="n">
        <f aca="false">IFERROR(__xludf.dummyfunction("""COMPUTED_VALUE"""),12)</f>
        <v>12</v>
      </c>
      <c r="T394" s="89"/>
      <c r="U394" s="89"/>
      <c r="V394" s="89" t="n">
        <f aca="false">IFERROR(__xludf.dummyfunction("""COMPUTED_VALUE"""),6)</f>
        <v>6</v>
      </c>
      <c r="W394" s="89"/>
      <c r="X394" s="89" t="n">
        <f aca="false">IFERROR(__xludf.dummyfunction("""COMPUTED_VALUE"""),30)</f>
        <v>30</v>
      </c>
      <c r="Y394" s="89" t="n">
        <f aca="false">IFERROR(__xludf.dummyfunction("""COMPUTED_VALUE"""),60)</f>
        <v>60</v>
      </c>
    </row>
    <row r="395" customFormat="false" ht="17.9" hidden="false" customHeight="false" outlineLevel="0" collapsed="false">
      <c r="A395" s="85" t="n">
        <v>394</v>
      </c>
      <c r="B395" s="85" t="n">
        <v>468100</v>
      </c>
      <c r="C395" s="86" t="s">
        <v>495</v>
      </c>
      <c r="D395" s="87" t="s">
        <v>183</v>
      </c>
      <c r="E395" s="88" t="str">
        <f aca="false">D395</f>
        <v>P3107</v>
      </c>
      <c r="F395" s="88" t="str">
        <f aca="false">REPLACE(E395, 1, 3, "")</f>
        <v>07</v>
      </c>
      <c r="G395" s="89" t="str">
        <f aca="true">IFERROR(VLOOKUP(B395,INDIRECT("'"&amp;$F395&amp;"'!D3:D"),1,FALSE()), "Not found")</f>
        <v>Not found</v>
      </c>
      <c r="H395" s="89" t="n">
        <f aca="true">INDIRECT("'"&amp;$F395&amp;"'!D1")</f>
        <v>0</v>
      </c>
      <c r="I395" s="89" t="str">
        <f aca="false">IFERROR(__xludf.dummyfunction("REGEXEXTRACT(ADDRESS(ROW(), 19+$H395), ""[A-Z]+"")"),"S")</f>
        <v>S</v>
      </c>
      <c r="J395" s="89" t="str">
        <f aca="false">IFERROR(__xludf.dummyfunction("REGEXEXTRACT(ADDRESS(ROW(), 25+$H395), ""[A-Z]+"")"),"Y")</f>
        <v>Y</v>
      </c>
      <c r="K395" s="89" t="str">
        <f aca="false">IFERROR(__xludf.dummyfunction("REGEXEXTRACT(ADDRESS(ROW(), 27+$H395), ""[A-Z]+"")"),"AA")</f>
        <v>AA</v>
      </c>
      <c r="L395" s="89" t="str">
        <f aca="false">IFERROR(__xludf.dummyfunction("REGEXEXTRACT(ADDRESS(ROW(), 28+$H395), ""[A-Z]+"")"),"AB")</f>
        <v>AB</v>
      </c>
      <c r="M395" s="89" t="str">
        <f aca="false">IFERROR(__xludf.dummyfunction("REGEXEXTRACT(ADDRESS(ROW(), 34+$H395), ""[A-Z]+"")"),"AH")</f>
        <v>AH</v>
      </c>
      <c r="N395" s="89" t="str">
        <f aca="false">IFERROR(__xludf.dummyfunction("REGEXEXTRACT(ADDRESS(ROW(), 37+$H395), ""[A-Z]+"")"),"AK")</f>
        <v>AK</v>
      </c>
      <c r="O395" s="89" t="str">
        <f aca="false">IFERROR(__xludf.dummyfunction("REGEXEXTRACT(ADDRESS(ROW(), 38+$H395), ""[A-Z]+"")"),"AL")</f>
        <v>AL</v>
      </c>
      <c r="P395" s="89" t="str">
        <f aca="false">IFERROR(__xludf.dummyfunction("REGEXEXTRACT(ADDRESS(ROW(), 39+$H395), ""[A-Z]+"")"),"AM")</f>
        <v>AM</v>
      </c>
      <c r="Q395" s="89" t="str">
        <f aca="false">IFERROR(__xludf.dummyfunction("REGEXEXTRACT(ADDRESS(ROW(), 40+$H395), ""[A-Z]+"")"),"AN")</f>
        <v>AN</v>
      </c>
      <c r="R395" s="89" t="n">
        <f aca="false">IFERROR(__xludf.dummyfunction("IFERROR(QUERY(INDIRECT(""'""&amp;$F395&amp;""'!C3:""&amp;Q395&amp;""""), ""SELECT ""&amp;I395&amp;"", ""&amp;J395&amp;"", ""&amp;K395&amp;"", ""&amp;L395&amp;"", ""&amp;M395&amp;"", ""&amp;N395&amp;"", ""&amp;O395&amp;"", ""&amp;P395&amp;"" WHERE '""&amp;B395&amp;""' CONTAINS D"", 0), """")"),16)</f>
        <v>16</v>
      </c>
      <c r="S395" s="89" t="n">
        <f aca="false">IFERROR(__xludf.dummyfunction("""COMPUTED_VALUE"""),18)</f>
        <v>18</v>
      </c>
      <c r="T395" s="89"/>
      <c r="U395" s="89"/>
      <c r="V395" s="89" t="n">
        <f aca="false">IFERROR(__xludf.dummyfunction("""COMPUTED_VALUE"""),6)</f>
        <v>6</v>
      </c>
      <c r="W395" s="89"/>
      <c r="X395" s="89" t="n">
        <f aca="false">IFERROR(__xludf.dummyfunction("""COMPUTED_VALUE"""),40)</f>
        <v>40</v>
      </c>
      <c r="Y395" s="89" t="n">
        <f aca="false">IFERROR(__xludf.dummyfunction("""COMPUTED_VALUE"""),80)</f>
        <v>80</v>
      </c>
    </row>
    <row r="396" customFormat="false" ht="17.9" hidden="false" customHeight="false" outlineLevel="0" collapsed="false">
      <c r="A396" s="85" t="n">
        <v>395</v>
      </c>
      <c r="B396" s="85" t="n">
        <v>468105</v>
      </c>
      <c r="C396" s="86" t="s">
        <v>496</v>
      </c>
      <c r="D396" s="87" t="s">
        <v>81</v>
      </c>
      <c r="E396" s="88" t="str">
        <f aca="false">D396</f>
        <v>P3108</v>
      </c>
      <c r="F396" s="88" t="str">
        <f aca="false">REPLACE(E396, 1, 3, "")</f>
        <v>08</v>
      </c>
      <c r="G396" s="89" t="str">
        <f aca="true">IFERROR(VLOOKUP(B396,INDIRECT("'"&amp;$F396&amp;"'!D3:D"),1,FALSE()), "Not found")</f>
        <v>Not found</v>
      </c>
      <c r="H396" s="89" t="n">
        <f aca="true">INDIRECT("'"&amp;$F396&amp;"'!D1")</f>
        <v>0</v>
      </c>
      <c r="I396" s="89" t="str">
        <f aca="false">IFERROR(__xludf.dummyfunction("REGEXEXTRACT(ADDRESS(ROW(), 19+$H396), ""[A-Z]+"")"),"S")</f>
        <v>S</v>
      </c>
      <c r="J396" s="89" t="str">
        <f aca="false">IFERROR(__xludf.dummyfunction("REGEXEXTRACT(ADDRESS(ROW(), 25+$H396), ""[A-Z]+"")"),"Y")</f>
        <v>Y</v>
      </c>
      <c r="K396" s="89" t="str">
        <f aca="false">IFERROR(__xludf.dummyfunction("REGEXEXTRACT(ADDRESS(ROW(), 27+$H396), ""[A-Z]+"")"),"AA")</f>
        <v>AA</v>
      </c>
      <c r="L396" s="89" t="str">
        <f aca="false">IFERROR(__xludf.dummyfunction("REGEXEXTRACT(ADDRESS(ROW(), 28+$H396), ""[A-Z]+"")"),"AB")</f>
        <v>AB</v>
      </c>
      <c r="M396" s="89" t="str">
        <f aca="false">IFERROR(__xludf.dummyfunction("REGEXEXTRACT(ADDRESS(ROW(), 34+$H396), ""[A-Z]+"")"),"AH")</f>
        <v>AH</v>
      </c>
      <c r="N396" s="89" t="str">
        <f aca="false">IFERROR(__xludf.dummyfunction("REGEXEXTRACT(ADDRESS(ROW(), 37+$H396), ""[A-Z]+"")"),"AK")</f>
        <v>AK</v>
      </c>
      <c r="O396" s="89" t="str">
        <f aca="false">IFERROR(__xludf.dummyfunction("REGEXEXTRACT(ADDRESS(ROW(), 38+$H396), ""[A-Z]+"")"),"AL")</f>
        <v>AL</v>
      </c>
      <c r="P396" s="89" t="str">
        <f aca="false">IFERROR(__xludf.dummyfunction("REGEXEXTRACT(ADDRESS(ROW(), 39+$H396), ""[A-Z]+"")"),"AM")</f>
        <v>AM</v>
      </c>
      <c r="Q396" s="89" t="str">
        <f aca="false">IFERROR(__xludf.dummyfunction("REGEXEXTRACT(ADDRESS(ROW(), 40+$H396), ""[A-Z]+"")"),"AN")</f>
        <v>AN</v>
      </c>
      <c r="R396" s="89" t="n">
        <f aca="false">IFERROR(__xludf.dummyfunction("IFERROR(QUERY(INDIRECT(""'""&amp;$F396&amp;""'!C3:""&amp;Q396&amp;""""), ""SELECT ""&amp;I396&amp;"", ""&amp;J396&amp;"", ""&amp;K396&amp;"", ""&amp;L396&amp;"", ""&amp;M396&amp;"", ""&amp;N396&amp;"", ""&amp;O396&amp;"", ""&amp;P396&amp;"" WHERE '""&amp;B396&amp;""' CONTAINS D"", 0), """")"),20)</f>
        <v>20</v>
      </c>
      <c r="S396" s="89" t="n">
        <f aca="false">IFERROR(__xludf.dummyfunction("""COMPUTED_VALUE"""),19)</f>
        <v>19</v>
      </c>
      <c r="T396" s="89"/>
      <c r="U396" s="89"/>
      <c r="V396" s="89" t="n">
        <f aca="false">IFERROR(__xludf.dummyfunction("""COMPUTED_VALUE"""),9)</f>
        <v>9</v>
      </c>
      <c r="W396" s="89"/>
      <c r="X396" s="89" t="n">
        <f aca="false">IFERROR(__xludf.dummyfunction("""COMPUTED_VALUE"""),40)</f>
        <v>40</v>
      </c>
      <c r="Y396" s="89" t="n">
        <f aca="false">IFERROR(__xludf.dummyfunction("""COMPUTED_VALUE"""),88)</f>
        <v>88</v>
      </c>
    </row>
    <row r="397" customFormat="false" ht="17.9" hidden="false" customHeight="false" outlineLevel="0" collapsed="false">
      <c r="A397" s="85" t="n">
        <v>396</v>
      </c>
      <c r="B397" s="85" t="n">
        <v>475247</v>
      </c>
      <c r="C397" s="86" t="s">
        <v>497</v>
      </c>
      <c r="D397" s="87" t="s">
        <v>85</v>
      </c>
      <c r="E397" s="88" t="str">
        <f aca="false">D397</f>
        <v>P3132</v>
      </c>
      <c r="F397" s="88" t="str">
        <f aca="false">REPLACE(E397, 1, 3, "")</f>
        <v>32</v>
      </c>
      <c r="G397" s="89" t="str">
        <f aca="true">IFERROR(VLOOKUP(B397,INDIRECT("'"&amp;$F397&amp;"'!D3:D"),1,FALSE()), "Not found")</f>
        <v>Not found</v>
      </c>
      <c r="H397" s="89" t="n">
        <f aca="true">INDIRECT("'"&amp;$F397&amp;"'!D1")</f>
        <v>0</v>
      </c>
      <c r="I397" s="89" t="str">
        <f aca="false">IFERROR(__xludf.dummyfunction("REGEXEXTRACT(ADDRESS(ROW(), 19+$H397), ""[A-Z]+"")"),"S")</f>
        <v>S</v>
      </c>
      <c r="J397" s="89" t="str">
        <f aca="false">IFERROR(__xludf.dummyfunction("REGEXEXTRACT(ADDRESS(ROW(), 25+$H397), ""[A-Z]+"")"),"Y")</f>
        <v>Y</v>
      </c>
      <c r="K397" s="89" t="str">
        <f aca="false">IFERROR(__xludf.dummyfunction("REGEXEXTRACT(ADDRESS(ROW(), 27+$H397), ""[A-Z]+"")"),"AA")</f>
        <v>AA</v>
      </c>
      <c r="L397" s="89" t="str">
        <f aca="false">IFERROR(__xludf.dummyfunction("REGEXEXTRACT(ADDRESS(ROW(), 28+$H397), ""[A-Z]+"")"),"AB")</f>
        <v>AB</v>
      </c>
      <c r="M397" s="89" t="str">
        <f aca="false">IFERROR(__xludf.dummyfunction("REGEXEXTRACT(ADDRESS(ROW(), 34+$H397), ""[A-Z]+"")"),"AH")</f>
        <v>AH</v>
      </c>
      <c r="N397" s="89" t="str">
        <f aca="false">IFERROR(__xludf.dummyfunction("REGEXEXTRACT(ADDRESS(ROW(), 37+$H397), ""[A-Z]+"")"),"AK")</f>
        <v>AK</v>
      </c>
      <c r="O397" s="89" t="str">
        <f aca="false">IFERROR(__xludf.dummyfunction("REGEXEXTRACT(ADDRESS(ROW(), 38+$H397), ""[A-Z]+"")"),"AL")</f>
        <v>AL</v>
      </c>
      <c r="P397" s="89" t="str">
        <f aca="false">IFERROR(__xludf.dummyfunction("REGEXEXTRACT(ADDRESS(ROW(), 39+$H397), ""[A-Z]+"")"),"AM")</f>
        <v>AM</v>
      </c>
      <c r="Q397" s="89" t="str">
        <f aca="false">IFERROR(__xludf.dummyfunction("REGEXEXTRACT(ADDRESS(ROW(), 40+$H397), ""[A-Z]+"")"),"AN")</f>
        <v>AN</v>
      </c>
      <c r="R397" s="89" t="n">
        <f aca="false">IFERROR(__xludf.dummyfunction("IFERROR(QUERY(INDIRECT(""'""&amp;$F397&amp;""'!C3:""&amp;Q397&amp;""""), ""SELECT ""&amp;I397&amp;"", ""&amp;J397&amp;"", ""&amp;K397&amp;"", ""&amp;L397&amp;"", ""&amp;M397&amp;"", ""&amp;N397&amp;"", ""&amp;O397&amp;"", ""&amp;P397&amp;"" WHERE '""&amp;B397&amp;""' CONTAINS D"", 0), """")"),20)</f>
        <v>20</v>
      </c>
      <c r="S397" s="89" t="n">
        <f aca="false">IFERROR(__xludf.dummyfunction("""COMPUTED_VALUE"""),17)</f>
        <v>17</v>
      </c>
      <c r="T397" s="89"/>
      <c r="U397" s="89"/>
      <c r="V397" s="89" t="n">
        <f aca="false">IFERROR(__xludf.dummyfunction("""COMPUTED_VALUE"""),6)</f>
        <v>6</v>
      </c>
      <c r="W397" s="89"/>
      <c r="X397" s="89" t="n">
        <f aca="false">IFERROR(__xludf.dummyfunction("""COMPUTED_VALUE"""),35)</f>
        <v>35</v>
      </c>
      <c r="Y397" s="89" t="n">
        <f aca="false">IFERROR(__xludf.dummyfunction("""COMPUTED_VALUE"""),78)</f>
        <v>78</v>
      </c>
    </row>
    <row r="398" customFormat="false" ht="17.9" hidden="false" customHeight="false" outlineLevel="0" collapsed="false">
      <c r="A398" s="85" t="n">
        <v>397</v>
      </c>
      <c r="B398" s="85" t="n">
        <v>468125</v>
      </c>
      <c r="C398" s="86" t="s">
        <v>498</v>
      </c>
      <c r="D398" s="87" t="s">
        <v>83</v>
      </c>
      <c r="E398" s="88" t="str">
        <f aca="false">D398</f>
        <v>P3109</v>
      </c>
      <c r="F398" s="88" t="str">
        <f aca="false">REPLACE(E398, 1, 3, "")</f>
        <v>09</v>
      </c>
      <c r="G398" s="89" t="str">
        <f aca="true">IFERROR(VLOOKUP(B398,INDIRECT("'"&amp;$F398&amp;"'!D3:D"),1,FALSE()), "Not found")</f>
        <v>Not found</v>
      </c>
      <c r="H398" s="89" t="n">
        <f aca="true">INDIRECT("'"&amp;$F398&amp;"'!D1")</f>
        <v>0</v>
      </c>
      <c r="I398" s="89" t="str">
        <f aca="false">IFERROR(__xludf.dummyfunction("REGEXEXTRACT(ADDRESS(ROW(), 19+$H398), ""[A-Z]+"")"),"S")</f>
        <v>S</v>
      </c>
      <c r="J398" s="89" t="str">
        <f aca="false">IFERROR(__xludf.dummyfunction("REGEXEXTRACT(ADDRESS(ROW(), 25+$H398), ""[A-Z]+"")"),"Y")</f>
        <v>Y</v>
      </c>
      <c r="K398" s="89" t="str">
        <f aca="false">IFERROR(__xludf.dummyfunction("REGEXEXTRACT(ADDRESS(ROW(), 27+$H398), ""[A-Z]+"")"),"AA")</f>
        <v>AA</v>
      </c>
      <c r="L398" s="89" t="str">
        <f aca="false">IFERROR(__xludf.dummyfunction("REGEXEXTRACT(ADDRESS(ROW(), 28+$H398), ""[A-Z]+"")"),"AB")</f>
        <v>AB</v>
      </c>
      <c r="M398" s="89" t="str">
        <f aca="false">IFERROR(__xludf.dummyfunction("REGEXEXTRACT(ADDRESS(ROW(), 34+$H398), ""[A-Z]+"")"),"AH")</f>
        <v>AH</v>
      </c>
      <c r="N398" s="89" t="str">
        <f aca="false">IFERROR(__xludf.dummyfunction("REGEXEXTRACT(ADDRESS(ROW(), 37+$H398), ""[A-Z]+"")"),"AK")</f>
        <v>AK</v>
      </c>
      <c r="O398" s="89" t="str">
        <f aca="false">IFERROR(__xludf.dummyfunction("REGEXEXTRACT(ADDRESS(ROW(), 38+$H398), ""[A-Z]+"")"),"AL")</f>
        <v>AL</v>
      </c>
      <c r="P398" s="89" t="str">
        <f aca="false">IFERROR(__xludf.dummyfunction("REGEXEXTRACT(ADDRESS(ROW(), 39+$H398), ""[A-Z]+"")"),"AM")</f>
        <v>AM</v>
      </c>
      <c r="Q398" s="89" t="str">
        <f aca="false">IFERROR(__xludf.dummyfunction("REGEXEXTRACT(ADDRESS(ROW(), 40+$H398), ""[A-Z]+"")"),"AN")</f>
        <v>AN</v>
      </c>
      <c r="R398" s="89" t="n">
        <f aca="false">IFERROR(__xludf.dummyfunction("IFERROR(QUERY(INDIRECT(""'""&amp;$F398&amp;""'!C3:""&amp;Q398&amp;""""), ""SELECT ""&amp;I398&amp;"", ""&amp;J398&amp;"", ""&amp;K398&amp;"", ""&amp;L398&amp;"", ""&amp;M398&amp;"", ""&amp;N398&amp;"", ""&amp;O398&amp;"", ""&amp;P398&amp;"" WHERE '""&amp;B398&amp;""' CONTAINS D"", 0), """")"),16.8)</f>
        <v>16.8</v>
      </c>
      <c r="S398" s="89" t="n">
        <f aca="false">IFERROR(__xludf.dummyfunction("""COMPUTED_VALUE"""),20)</f>
        <v>20</v>
      </c>
      <c r="T398" s="89"/>
      <c r="U398" s="89"/>
      <c r="V398" s="89" t="n">
        <f aca="false">IFERROR(__xludf.dummyfunction("""COMPUTED_VALUE"""),10)</f>
        <v>10</v>
      </c>
      <c r="W398" s="89"/>
      <c r="X398" s="89" t="n">
        <f aca="false">IFERROR(__xludf.dummyfunction("""COMPUTED_VALUE"""),40)</f>
        <v>40</v>
      </c>
      <c r="Y398" s="89" t="n">
        <f aca="false">IFERROR(__xludf.dummyfunction("""COMPUTED_VALUE"""),86.8)</f>
        <v>86.8</v>
      </c>
    </row>
    <row r="399" customFormat="false" ht="17.9" hidden="false" customHeight="false" outlineLevel="0" collapsed="false">
      <c r="A399" s="85" t="n">
        <v>398</v>
      </c>
      <c r="B399" s="85" t="n">
        <v>468127</v>
      </c>
      <c r="C399" s="86" t="s">
        <v>499</v>
      </c>
      <c r="D399" s="87" t="s">
        <v>102</v>
      </c>
      <c r="E399" s="88" t="str">
        <f aca="false">D399</f>
        <v>P3110</v>
      </c>
      <c r="F399" s="88" t="str">
        <f aca="false">REPLACE(E399, 1, 3, "")</f>
        <v>10</v>
      </c>
      <c r="G399" s="89" t="str">
        <f aca="true">IFERROR(VLOOKUP(B399,INDIRECT("'"&amp;$F399&amp;"'!D3:D"),1,FALSE()), "Not found")</f>
        <v>Not found</v>
      </c>
      <c r="H399" s="89" t="n">
        <f aca="true">INDIRECT("'"&amp;$F399&amp;"'!D1")</f>
        <v>0</v>
      </c>
      <c r="I399" s="89" t="str">
        <f aca="false">IFERROR(__xludf.dummyfunction("REGEXEXTRACT(ADDRESS(ROW(), 19+$H399), ""[A-Z]+"")"),"S")</f>
        <v>S</v>
      </c>
      <c r="J399" s="89" t="str">
        <f aca="false">IFERROR(__xludf.dummyfunction("REGEXEXTRACT(ADDRESS(ROW(), 25+$H399), ""[A-Z]+"")"),"Y")</f>
        <v>Y</v>
      </c>
      <c r="K399" s="89" t="str">
        <f aca="false">IFERROR(__xludf.dummyfunction("REGEXEXTRACT(ADDRESS(ROW(), 27+$H399), ""[A-Z]+"")"),"AA")</f>
        <v>AA</v>
      </c>
      <c r="L399" s="89" t="str">
        <f aca="false">IFERROR(__xludf.dummyfunction("REGEXEXTRACT(ADDRESS(ROW(), 28+$H399), ""[A-Z]+"")"),"AB")</f>
        <v>AB</v>
      </c>
      <c r="M399" s="89" t="str">
        <f aca="false">IFERROR(__xludf.dummyfunction("REGEXEXTRACT(ADDRESS(ROW(), 34+$H399), ""[A-Z]+"")"),"AH")</f>
        <v>AH</v>
      </c>
      <c r="N399" s="89" t="str">
        <f aca="false">IFERROR(__xludf.dummyfunction("REGEXEXTRACT(ADDRESS(ROW(), 37+$H399), ""[A-Z]+"")"),"AK")</f>
        <v>AK</v>
      </c>
      <c r="O399" s="89" t="str">
        <f aca="false">IFERROR(__xludf.dummyfunction("REGEXEXTRACT(ADDRESS(ROW(), 38+$H399), ""[A-Z]+"")"),"AL")</f>
        <v>AL</v>
      </c>
      <c r="P399" s="89" t="str">
        <f aca="false">IFERROR(__xludf.dummyfunction("REGEXEXTRACT(ADDRESS(ROW(), 39+$H399), ""[A-Z]+"")"),"AM")</f>
        <v>AM</v>
      </c>
      <c r="Q399" s="89" t="str">
        <f aca="false">IFERROR(__xludf.dummyfunction("REGEXEXTRACT(ADDRESS(ROW(), 40+$H399), ""[A-Z]+"")"),"AN")</f>
        <v>AN</v>
      </c>
      <c r="R399" s="89" t="n">
        <f aca="false">IFERROR(__xludf.dummyfunction("IFERROR(QUERY(INDIRECT(""'""&amp;$F399&amp;""'!C3:""&amp;Q399&amp;""""), ""SELECT ""&amp;I399&amp;"", ""&amp;J399&amp;"", ""&amp;K399&amp;"", ""&amp;L399&amp;"", ""&amp;M399&amp;"", ""&amp;N399&amp;"", ""&amp;O399&amp;"", ""&amp;P399&amp;"" WHERE '""&amp;B399&amp;""' CONTAINS D"", 0), """")"),17)</f>
        <v>17</v>
      </c>
      <c r="S399" s="89" t="n">
        <f aca="false">IFERROR(__xludf.dummyfunction("""COMPUTED_VALUE"""),17)</f>
        <v>17</v>
      </c>
      <c r="T399" s="89"/>
      <c r="U399" s="89"/>
      <c r="V399" s="89" t="n">
        <f aca="false">IFERROR(__xludf.dummyfunction("""COMPUTED_VALUE"""),9.5)</f>
        <v>9.5</v>
      </c>
      <c r="W399" s="89"/>
      <c r="X399" s="89" t="n">
        <f aca="false">IFERROR(__xludf.dummyfunction("""COMPUTED_VALUE"""),40)</f>
        <v>40</v>
      </c>
      <c r="Y399" s="89" t="n">
        <f aca="false">IFERROR(__xludf.dummyfunction("""COMPUTED_VALUE"""),83.5)</f>
        <v>83.5</v>
      </c>
    </row>
    <row r="400" customFormat="false" ht="17.9" hidden="false" customHeight="false" outlineLevel="0" collapsed="false">
      <c r="A400" s="85" t="n">
        <v>399</v>
      </c>
      <c r="B400" s="85" t="n">
        <v>468133</v>
      </c>
      <c r="C400" s="86" t="s">
        <v>500</v>
      </c>
      <c r="D400" s="87" t="s">
        <v>91</v>
      </c>
      <c r="E400" s="88" t="str">
        <f aca="false">D400</f>
        <v>P3111</v>
      </c>
      <c r="F400" s="88" t="str">
        <f aca="false">REPLACE(E400, 1, 3, "")</f>
        <v>11</v>
      </c>
      <c r="G400" s="89" t="str">
        <f aca="true">IFERROR(VLOOKUP(B400,INDIRECT("'"&amp;$F400&amp;"'!D3:D"),1,FALSE()), "Not found")</f>
        <v>Not found</v>
      </c>
      <c r="H400" s="89" t="n">
        <f aca="true">INDIRECT("'"&amp;$F400&amp;"'!D1")</f>
        <v>0</v>
      </c>
      <c r="I400" s="89" t="str">
        <f aca="false">IFERROR(__xludf.dummyfunction("REGEXEXTRACT(ADDRESS(ROW(), 19+$H400), ""[A-Z]+"")"),"S")</f>
        <v>S</v>
      </c>
      <c r="J400" s="89" t="str">
        <f aca="false">IFERROR(__xludf.dummyfunction("REGEXEXTRACT(ADDRESS(ROW(), 25+$H400), ""[A-Z]+"")"),"Y")</f>
        <v>Y</v>
      </c>
      <c r="K400" s="89" t="str">
        <f aca="false">IFERROR(__xludf.dummyfunction("REGEXEXTRACT(ADDRESS(ROW(), 27+$H400), ""[A-Z]+"")"),"AA")</f>
        <v>AA</v>
      </c>
      <c r="L400" s="89" t="str">
        <f aca="false">IFERROR(__xludf.dummyfunction("REGEXEXTRACT(ADDRESS(ROW(), 28+$H400), ""[A-Z]+"")"),"AB")</f>
        <v>AB</v>
      </c>
      <c r="M400" s="89" t="str">
        <f aca="false">IFERROR(__xludf.dummyfunction("REGEXEXTRACT(ADDRESS(ROW(), 34+$H400), ""[A-Z]+"")"),"AH")</f>
        <v>AH</v>
      </c>
      <c r="N400" s="89" t="str">
        <f aca="false">IFERROR(__xludf.dummyfunction("REGEXEXTRACT(ADDRESS(ROW(), 37+$H400), ""[A-Z]+"")"),"AK")</f>
        <v>AK</v>
      </c>
      <c r="O400" s="89" t="str">
        <f aca="false">IFERROR(__xludf.dummyfunction("REGEXEXTRACT(ADDRESS(ROW(), 38+$H400), ""[A-Z]+"")"),"AL")</f>
        <v>AL</v>
      </c>
      <c r="P400" s="89" t="str">
        <f aca="false">IFERROR(__xludf.dummyfunction("REGEXEXTRACT(ADDRESS(ROW(), 39+$H400), ""[A-Z]+"")"),"AM")</f>
        <v>AM</v>
      </c>
      <c r="Q400" s="89" t="str">
        <f aca="false">IFERROR(__xludf.dummyfunction("REGEXEXTRACT(ADDRESS(ROW(), 40+$H400), ""[A-Z]+"")"),"AN")</f>
        <v>AN</v>
      </c>
      <c r="R400" s="89" t="n">
        <f aca="false">IFERROR(__xludf.dummyfunction("IFERROR(QUERY(INDIRECT(""'""&amp;$F400&amp;""'!C3:""&amp;Q400&amp;""""), ""SELECT ""&amp;I400&amp;"", ""&amp;J400&amp;"", ""&amp;K400&amp;"", ""&amp;L400&amp;"", ""&amp;M400&amp;"", ""&amp;N400&amp;"", ""&amp;O400&amp;"", ""&amp;P400&amp;"" WHERE '""&amp;B400&amp;""' CONTAINS D"", 0), """")"),20)</f>
        <v>20</v>
      </c>
      <c r="S400" s="89" t="n">
        <f aca="false">IFERROR(__xludf.dummyfunction("""COMPUTED_VALUE"""),19)</f>
        <v>19</v>
      </c>
      <c r="T400" s="89"/>
      <c r="U400" s="89"/>
      <c r="V400" s="89" t="n">
        <f aca="false">IFERROR(__xludf.dummyfunction("""COMPUTED_VALUE"""),6)</f>
        <v>6</v>
      </c>
      <c r="W400" s="89"/>
      <c r="X400" s="89" t="n">
        <f aca="false">IFERROR(__xludf.dummyfunction("""COMPUTED_VALUE"""),24)</f>
        <v>24</v>
      </c>
      <c r="Y400" s="89" t="n">
        <f aca="false">IFERROR(__xludf.dummyfunction("""COMPUTED_VALUE"""),69)</f>
        <v>69</v>
      </c>
    </row>
    <row r="401" customFormat="false" ht="17.9" hidden="false" customHeight="false" outlineLevel="0" collapsed="false">
      <c r="A401" s="85" t="n">
        <v>400</v>
      </c>
      <c r="B401" s="85" t="n">
        <v>408078</v>
      </c>
      <c r="C401" s="86" t="s">
        <v>501</v>
      </c>
      <c r="D401" s="87" t="s">
        <v>85</v>
      </c>
      <c r="E401" s="88" t="str">
        <f aca="false">D401</f>
        <v>P3132</v>
      </c>
      <c r="F401" s="88" t="str">
        <f aca="false">REPLACE(E401, 1, 3, "")</f>
        <v>32</v>
      </c>
      <c r="G401" s="89" t="str">
        <f aca="true">IFERROR(VLOOKUP(B401,INDIRECT("'"&amp;$F401&amp;"'!D3:D"),1,FALSE()), "Not found")</f>
        <v>Not found</v>
      </c>
      <c r="H401" s="89" t="n">
        <f aca="true">INDIRECT("'"&amp;$F401&amp;"'!D1")</f>
        <v>0</v>
      </c>
      <c r="I401" s="89" t="str">
        <f aca="false">IFERROR(__xludf.dummyfunction("REGEXEXTRACT(ADDRESS(ROW(), 19+$H401), ""[A-Z]+"")"),"S")</f>
        <v>S</v>
      </c>
      <c r="J401" s="89" t="str">
        <f aca="false">IFERROR(__xludf.dummyfunction("REGEXEXTRACT(ADDRESS(ROW(), 25+$H401), ""[A-Z]+"")"),"Y")</f>
        <v>Y</v>
      </c>
      <c r="K401" s="89" t="str">
        <f aca="false">IFERROR(__xludf.dummyfunction("REGEXEXTRACT(ADDRESS(ROW(), 27+$H401), ""[A-Z]+"")"),"AA")</f>
        <v>AA</v>
      </c>
      <c r="L401" s="89" t="str">
        <f aca="false">IFERROR(__xludf.dummyfunction("REGEXEXTRACT(ADDRESS(ROW(), 28+$H401), ""[A-Z]+"")"),"AB")</f>
        <v>AB</v>
      </c>
      <c r="M401" s="89" t="str">
        <f aca="false">IFERROR(__xludf.dummyfunction("REGEXEXTRACT(ADDRESS(ROW(), 34+$H401), ""[A-Z]+"")"),"AH")</f>
        <v>AH</v>
      </c>
      <c r="N401" s="89" t="str">
        <f aca="false">IFERROR(__xludf.dummyfunction("REGEXEXTRACT(ADDRESS(ROW(), 37+$H401), ""[A-Z]+"")"),"AK")</f>
        <v>AK</v>
      </c>
      <c r="O401" s="89" t="str">
        <f aca="false">IFERROR(__xludf.dummyfunction("REGEXEXTRACT(ADDRESS(ROW(), 38+$H401), ""[A-Z]+"")"),"AL")</f>
        <v>AL</v>
      </c>
      <c r="P401" s="89" t="str">
        <f aca="false">IFERROR(__xludf.dummyfunction("REGEXEXTRACT(ADDRESS(ROW(), 39+$H401), ""[A-Z]+"")"),"AM")</f>
        <v>AM</v>
      </c>
      <c r="Q401" s="89" t="str">
        <f aca="false">IFERROR(__xludf.dummyfunction("REGEXEXTRACT(ADDRESS(ROW(), 40+$H401), ""[A-Z]+"")"),"AN")</f>
        <v>AN</v>
      </c>
      <c r="R401" s="89" t="n">
        <f aca="false">IFERROR(__xludf.dummyfunction("IFERROR(QUERY(INDIRECT(""'""&amp;$F401&amp;""'!C3:""&amp;Q401&amp;""""), ""SELECT ""&amp;I401&amp;"", ""&amp;J401&amp;"", ""&amp;K401&amp;"", ""&amp;L401&amp;"", ""&amp;M401&amp;"", ""&amp;N401&amp;"", ""&amp;O401&amp;"", ""&amp;P401&amp;"" WHERE '""&amp;B401&amp;""' CONTAINS D"", 0), """")"),18)</f>
        <v>18</v>
      </c>
      <c r="S401" s="89" t="n">
        <f aca="false">IFERROR(__xludf.dummyfunction("""COMPUTED_VALUE"""),17)</f>
        <v>17</v>
      </c>
      <c r="T401" s="89"/>
      <c r="U401" s="89"/>
      <c r="V401" s="89" t="n">
        <f aca="false">IFERROR(__xludf.dummyfunction("""COMPUTED_VALUE"""),6)</f>
        <v>6</v>
      </c>
      <c r="W401" s="89"/>
      <c r="X401" s="89" t="n">
        <f aca="false">IFERROR(__xludf.dummyfunction("""COMPUTED_VALUE"""),24)</f>
        <v>24</v>
      </c>
      <c r="Y401" s="89" t="n">
        <f aca="false">IFERROR(__xludf.dummyfunction("""COMPUTED_VALUE"""),65)</f>
        <v>65</v>
      </c>
    </row>
    <row r="402" customFormat="false" ht="17.9" hidden="false" customHeight="false" outlineLevel="0" collapsed="false">
      <c r="A402" s="85" t="n">
        <v>401</v>
      </c>
      <c r="B402" s="85" t="n">
        <v>468173</v>
      </c>
      <c r="C402" s="86" t="s">
        <v>502</v>
      </c>
      <c r="D402" s="87" t="s">
        <v>130</v>
      </c>
      <c r="E402" s="88" t="str">
        <f aca="false">D402</f>
        <v>P3117</v>
      </c>
      <c r="F402" s="88" t="str">
        <f aca="false">REPLACE(E402, 1, 3, "")</f>
        <v>17</v>
      </c>
      <c r="G402" s="89" t="str">
        <f aca="true">IFERROR(VLOOKUP(B402,INDIRECT("'"&amp;$F402&amp;"'!D3:D"),1,FALSE()), "Not found")</f>
        <v>Not found</v>
      </c>
      <c r="H402" s="89" t="n">
        <f aca="true">INDIRECT("'"&amp;$F402&amp;"'!D1")</f>
        <v>1</v>
      </c>
      <c r="I402" s="89" t="str">
        <f aca="false">IFERROR(__xludf.dummyfunction("REGEXEXTRACT(ADDRESS(ROW(), 19+$H402), ""[A-Z]+"")"),"T")</f>
        <v>T</v>
      </c>
      <c r="J402" s="89" t="str">
        <f aca="false">IFERROR(__xludf.dummyfunction("REGEXEXTRACT(ADDRESS(ROW(), 25+$H402), ""[A-Z]+"")"),"Z")</f>
        <v>Z</v>
      </c>
      <c r="K402" s="89" t="str">
        <f aca="false">IFERROR(__xludf.dummyfunction("REGEXEXTRACT(ADDRESS(ROW(), 27+$H402), ""[A-Z]+"")"),"AB")</f>
        <v>AB</v>
      </c>
      <c r="L402" s="89" t="str">
        <f aca="false">IFERROR(__xludf.dummyfunction("REGEXEXTRACT(ADDRESS(ROW(), 28+$H402), ""[A-Z]+"")"),"AC")</f>
        <v>AC</v>
      </c>
      <c r="M402" s="89" t="str">
        <f aca="false">IFERROR(__xludf.dummyfunction("REGEXEXTRACT(ADDRESS(ROW(), 34+$H402), ""[A-Z]+"")"),"AI")</f>
        <v>AI</v>
      </c>
      <c r="N402" s="89" t="str">
        <f aca="false">IFERROR(__xludf.dummyfunction("REGEXEXTRACT(ADDRESS(ROW(), 37+$H402), ""[A-Z]+"")"),"AL")</f>
        <v>AL</v>
      </c>
      <c r="O402" s="89" t="str">
        <f aca="false">IFERROR(__xludf.dummyfunction("REGEXEXTRACT(ADDRESS(ROW(), 38+$H402), ""[A-Z]+"")"),"AM")</f>
        <v>AM</v>
      </c>
      <c r="P402" s="89" t="str">
        <f aca="false">IFERROR(__xludf.dummyfunction("REGEXEXTRACT(ADDRESS(ROW(), 39+$H402), ""[A-Z]+"")"),"AN")</f>
        <v>AN</v>
      </c>
      <c r="Q402" s="89" t="str">
        <f aca="false">IFERROR(__xludf.dummyfunction("REGEXEXTRACT(ADDRESS(ROW(), 40+$H402), ""[A-Z]+"")"),"AO")</f>
        <v>AO</v>
      </c>
      <c r="R402" s="89" t="n">
        <f aca="false">IFERROR(__xludf.dummyfunction("IFERROR(QUERY(INDIRECT(""'""&amp;$F402&amp;""'!C3:""&amp;Q402&amp;""""), ""SELECT ""&amp;I402&amp;"", ""&amp;J402&amp;"", ""&amp;K402&amp;"", ""&amp;L402&amp;"", ""&amp;M402&amp;"", ""&amp;N402&amp;"", ""&amp;O402&amp;"", ""&amp;P402&amp;"" WHERE '""&amp;B402&amp;""' CONTAINS D"", 0), """")"),18)</f>
        <v>18</v>
      </c>
      <c r="S402" s="89" t="n">
        <f aca="false">IFERROR(__xludf.dummyfunction("""COMPUTED_VALUE"""),18)</f>
        <v>18</v>
      </c>
      <c r="T402" s="89"/>
      <c r="U402" s="89"/>
      <c r="V402" s="89" t="n">
        <f aca="false">IFERROR(__xludf.dummyfunction("""COMPUTED_VALUE"""),8)</f>
        <v>8</v>
      </c>
      <c r="W402" s="89"/>
      <c r="X402" s="89" t="n">
        <f aca="false">IFERROR(__xludf.dummyfunction("""COMPUTED_VALUE"""),40)</f>
        <v>40</v>
      </c>
      <c r="Y402" s="89" t="n">
        <f aca="false">IFERROR(__xludf.dummyfunction("""COMPUTED_VALUE"""),84)</f>
        <v>84</v>
      </c>
    </row>
    <row r="403" customFormat="false" ht="17.9" hidden="false" customHeight="false" outlineLevel="0" collapsed="false">
      <c r="A403" s="85" t="n">
        <v>402</v>
      </c>
      <c r="B403" s="85" t="n">
        <v>409953</v>
      </c>
      <c r="C403" s="86" t="s">
        <v>503</v>
      </c>
      <c r="D403" s="87" t="s">
        <v>121</v>
      </c>
      <c r="E403" s="88" t="str">
        <f aca="false">D403</f>
        <v>P3120</v>
      </c>
      <c r="F403" s="88" t="str">
        <f aca="false">REPLACE(E403, 1, 3, "")</f>
        <v>20</v>
      </c>
      <c r="G403" s="89" t="str">
        <f aca="true">IFERROR(VLOOKUP(B403,INDIRECT("'"&amp;$F403&amp;"'!D3:D"),1,FALSE()), "Not found")</f>
        <v>Not found</v>
      </c>
      <c r="H403" s="89" t="n">
        <f aca="true">INDIRECT("'"&amp;$F403&amp;"'!D1")</f>
        <v>5</v>
      </c>
      <c r="I403" s="89" t="str">
        <f aca="false">IFERROR(__xludf.dummyfunction("REGEXEXTRACT(ADDRESS(ROW(), 19+$H403), ""[A-Z]+"")"),"X")</f>
        <v>X</v>
      </c>
      <c r="J403" s="89" t="str">
        <f aca="false">IFERROR(__xludf.dummyfunction("REGEXEXTRACT(ADDRESS(ROW(), 25+$H403), ""[A-Z]+"")"),"AD")</f>
        <v>AD</v>
      </c>
      <c r="K403" s="89" t="str">
        <f aca="false">IFERROR(__xludf.dummyfunction("REGEXEXTRACT(ADDRESS(ROW(), 27+$H403), ""[A-Z]+"")"),"AF")</f>
        <v>AF</v>
      </c>
      <c r="L403" s="89" t="str">
        <f aca="false">IFERROR(__xludf.dummyfunction("REGEXEXTRACT(ADDRESS(ROW(), 28+$H403), ""[A-Z]+"")"),"AG")</f>
        <v>AG</v>
      </c>
      <c r="M403" s="89" t="str">
        <f aca="false">IFERROR(__xludf.dummyfunction("REGEXEXTRACT(ADDRESS(ROW(), 34+$H403), ""[A-Z]+"")"),"AM")</f>
        <v>AM</v>
      </c>
      <c r="N403" s="89" t="str">
        <f aca="false">IFERROR(__xludf.dummyfunction("REGEXEXTRACT(ADDRESS(ROW(), 37+$H403), ""[A-Z]+"")"),"AP")</f>
        <v>AP</v>
      </c>
      <c r="O403" s="89" t="str">
        <f aca="false">IFERROR(__xludf.dummyfunction("REGEXEXTRACT(ADDRESS(ROW(), 38+$H403), ""[A-Z]+"")"),"AQ")</f>
        <v>AQ</v>
      </c>
      <c r="P403" s="89" t="str">
        <f aca="false">IFERROR(__xludf.dummyfunction("REGEXEXTRACT(ADDRESS(ROW(), 39+$H403), ""[A-Z]+"")"),"AR")</f>
        <v>AR</v>
      </c>
      <c r="Q403" s="89" t="str">
        <f aca="false">IFERROR(__xludf.dummyfunction("REGEXEXTRACT(ADDRESS(ROW(), 40+$H403), ""[A-Z]+"")"),"AS")</f>
        <v>AS</v>
      </c>
      <c r="R403" s="89" t="n">
        <f aca="false">IFERROR(__xludf.dummyfunction("IFERROR(QUERY(INDIRECT(""'""&amp;$F403&amp;""'!C3:""&amp;Q403&amp;""""), ""SELECT ""&amp;I403&amp;"", ""&amp;J403&amp;"", ""&amp;K403&amp;"", ""&amp;L403&amp;"", ""&amp;M403&amp;"", ""&amp;N403&amp;"", ""&amp;O403&amp;"", ""&amp;P403&amp;"" WHERE '""&amp;B403&amp;""' CONTAINS D"", 0), """")"),12)</f>
        <v>12</v>
      </c>
      <c r="S403" s="89" t="n">
        <f aca="false">IFERROR(__xludf.dummyfunction("""COMPUTED_VALUE"""),12)</f>
        <v>12</v>
      </c>
      <c r="T403" s="89"/>
      <c r="U403" s="89"/>
      <c r="V403" s="89" t="n">
        <f aca="false">IFERROR(__xludf.dummyfunction("""COMPUTED_VALUE"""),6)</f>
        <v>6</v>
      </c>
      <c r="W403" s="89"/>
      <c r="X403" s="89" t="n">
        <f aca="false">IFERROR(__xludf.dummyfunction("""COMPUTED_VALUE"""),31)</f>
        <v>31</v>
      </c>
      <c r="Y403" s="89" t="n">
        <f aca="false">IFERROR(__xludf.dummyfunction("""COMPUTED_VALUE"""),61)</f>
        <v>61</v>
      </c>
    </row>
    <row r="404" customFormat="false" ht="17.9" hidden="false" customHeight="false" outlineLevel="0" collapsed="false">
      <c r="A404" s="85" t="n">
        <v>403</v>
      </c>
      <c r="B404" s="85" t="n">
        <v>468197</v>
      </c>
      <c r="C404" s="86" t="s">
        <v>504</v>
      </c>
      <c r="D404" s="87" t="s">
        <v>100</v>
      </c>
      <c r="E404" s="88" t="str">
        <f aca="false">D404</f>
        <v>P3112</v>
      </c>
      <c r="F404" s="88" t="str">
        <f aca="false">REPLACE(E404, 1, 3, "")</f>
        <v>12</v>
      </c>
      <c r="G404" s="89" t="str">
        <f aca="true">IFERROR(VLOOKUP(B404,INDIRECT("'"&amp;$F404&amp;"'!D3:D"),1,FALSE()), "Not found")</f>
        <v>Not found</v>
      </c>
      <c r="H404" s="89" t="n">
        <f aca="true">INDIRECT("'"&amp;$F404&amp;"'!D1")</f>
        <v>0</v>
      </c>
      <c r="I404" s="89" t="str">
        <f aca="false">IFERROR(__xludf.dummyfunction("REGEXEXTRACT(ADDRESS(ROW(), 19+$H404), ""[A-Z]+"")"),"S")</f>
        <v>S</v>
      </c>
      <c r="J404" s="89" t="str">
        <f aca="false">IFERROR(__xludf.dummyfunction("REGEXEXTRACT(ADDRESS(ROW(), 25+$H404), ""[A-Z]+"")"),"Y")</f>
        <v>Y</v>
      </c>
      <c r="K404" s="89" t="str">
        <f aca="false">IFERROR(__xludf.dummyfunction("REGEXEXTRACT(ADDRESS(ROW(), 27+$H404), ""[A-Z]+"")"),"AA")</f>
        <v>AA</v>
      </c>
      <c r="L404" s="89" t="str">
        <f aca="false">IFERROR(__xludf.dummyfunction("REGEXEXTRACT(ADDRESS(ROW(), 28+$H404), ""[A-Z]+"")"),"AB")</f>
        <v>AB</v>
      </c>
      <c r="M404" s="89" t="str">
        <f aca="false">IFERROR(__xludf.dummyfunction("REGEXEXTRACT(ADDRESS(ROW(), 34+$H404), ""[A-Z]+"")"),"AH")</f>
        <v>AH</v>
      </c>
      <c r="N404" s="89" t="str">
        <f aca="false">IFERROR(__xludf.dummyfunction("REGEXEXTRACT(ADDRESS(ROW(), 37+$H404), ""[A-Z]+"")"),"AK")</f>
        <v>AK</v>
      </c>
      <c r="O404" s="89" t="str">
        <f aca="false">IFERROR(__xludf.dummyfunction("REGEXEXTRACT(ADDRESS(ROW(), 38+$H404), ""[A-Z]+"")"),"AL")</f>
        <v>AL</v>
      </c>
      <c r="P404" s="89" t="str">
        <f aca="false">IFERROR(__xludf.dummyfunction("REGEXEXTRACT(ADDRESS(ROW(), 39+$H404), ""[A-Z]+"")"),"AM")</f>
        <v>AM</v>
      </c>
      <c r="Q404" s="89" t="str">
        <f aca="false">IFERROR(__xludf.dummyfunction("REGEXEXTRACT(ADDRESS(ROW(), 40+$H404), ""[A-Z]+"")"),"AN")</f>
        <v>AN</v>
      </c>
      <c r="R404" s="89" t="n">
        <f aca="false">IFERROR(__xludf.dummyfunction("IFERROR(QUERY(INDIRECT(""'""&amp;$F404&amp;""'!C3:""&amp;Q404&amp;""""), ""SELECT ""&amp;I404&amp;"", ""&amp;J404&amp;"", ""&amp;K404&amp;"", ""&amp;L404&amp;"", ""&amp;M404&amp;"", ""&amp;N404&amp;"", ""&amp;O404&amp;"", ""&amp;P404&amp;"" WHERE '""&amp;B404&amp;""' CONTAINS D"", 0), """")"),20)</f>
        <v>20</v>
      </c>
      <c r="S404" s="89" t="n">
        <f aca="false">IFERROR(__xludf.dummyfunction("""COMPUTED_VALUE"""),17)</f>
        <v>17</v>
      </c>
      <c r="T404" s="89"/>
      <c r="U404" s="89"/>
      <c r="V404" s="89" t="n">
        <f aca="false">IFERROR(__xludf.dummyfunction("""COMPUTED_VALUE"""),7)</f>
        <v>7</v>
      </c>
      <c r="W404" s="89"/>
      <c r="X404" s="89" t="n">
        <f aca="false">IFERROR(__xludf.dummyfunction("""COMPUTED_VALUE"""),40)</f>
        <v>40</v>
      </c>
      <c r="Y404" s="89" t="n">
        <f aca="false">IFERROR(__xludf.dummyfunction("""COMPUTED_VALUE"""),84)</f>
        <v>84</v>
      </c>
    </row>
    <row r="405" customFormat="false" ht="17.9" hidden="false" customHeight="false" outlineLevel="0" collapsed="false">
      <c r="A405" s="85" t="n">
        <v>404</v>
      </c>
      <c r="B405" s="85" t="n">
        <v>372978</v>
      </c>
      <c r="C405" s="86" t="s">
        <v>505</v>
      </c>
      <c r="D405" s="87" t="s">
        <v>121</v>
      </c>
      <c r="E405" s="88" t="str">
        <f aca="false">D405</f>
        <v>P3120</v>
      </c>
      <c r="F405" s="88" t="str">
        <f aca="false">REPLACE(E405, 1, 3, "")</f>
        <v>20</v>
      </c>
      <c r="G405" s="89" t="str">
        <f aca="true">IFERROR(VLOOKUP(B405,INDIRECT("'"&amp;$F405&amp;"'!D3:D"),1,FALSE()), "Not found")</f>
        <v>Not found</v>
      </c>
      <c r="H405" s="89" t="n">
        <f aca="true">INDIRECT("'"&amp;$F405&amp;"'!D1")</f>
        <v>5</v>
      </c>
      <c r="I405" s="89" t="str">
        <f aca="false">IFERROR(__xludf.dummyfunction("REGEXEXTRACT(ADDRESS(ROW(), 19+$H405), ""[A-Z]+"")"),"X")</f>
        <v>X</v>
      </c>
      <c r="J405" s="89" t="str">
        <f aca="false">IFERROR(__xludf.dummyfunction("REGEXEXTRACT(ADDRESS(ROW(), 25+$H405), ""[A-Z]+"")"),"AD")</f>
        <v>AD</v>
      </c>
      <c r="K405" s="89" t="str">
        <f aca="false">IFERROR(__xludf.dummyfunction("REGEXEXTRACT(ADDRESS(ROW(), 27+$H405), ""[A-Z]+"")"),"AF")</f>
        <v>AF</v>
      </c>
      <c r="L405" s="89" t="str">
        <f aca="false">IFERROR(__xludf.dummyfunction("REGEXEXTRACT(ADDRESS(ROW(), 28+$H405), ""[A-Z]+"")"),"AG")</f>
        <v>AG</v>
      </c>
      <c r="M405" s="89" t="str">
        <f aca="false">IFERROR(__xludf.dummyfunction("REGEXEXTRACT(ADDRESS(ROW(), 34+$H405), ""[A-Z]+"")"),"AM")</f>
        <v>AM</v>
      </c>
      <c r="N405" s="89" t="str">
        <f aca="false">IFERROR(__xludf.dummyfunction("REGEXEXTRACT(ADDRESS(ROW(), 37+$H405), ""[A-Z]+"")"),"AP")</f>
        <v>AP</v>
      </c>
      <c r="O405" s="89" t="str">
        <f aca="false">IFERROR(__xludf.dummyfunction("REGEXEXTRACT(ADDRESS(ROW(), 38+$H405), ""[A-Z]+"")"),"AQ")</f>
        <v>AQ</v>
      </c>
      <c r="P405" s="89" t="str">
        <f aca="false">IFERROR(__xludf.dummyfunction("REGEXEXTRACT(ADDRESS(ROW(), 39+$H405), ""[A-Z]+"")"),"AR")</f>
        <v>AR</v>
      </c>
      <c r="Q405" s="89" t="str">
        <f aca="false">IFERROR(__xludf.dummyfunction("REGEXEXTRACT(ADDRESS(ROW(), 40+$H405), ""[A-Z]+"")"),"AS")</f>
        <v>AS</v>
      </c>
      <c r="R405" s="89" t="n">
        <f aca="false">IFERROR(__xludf.dummyfunction("IFERROR(QUERY(INDIRECT(""'""&amp;$F405&amp;""'!C3:""&amp;Q405&amp;""""), ""SELECT ""&amp;I405&amp;"", ""&amp;J405&amp;"", ""&amp;K405&amp;"", ""&amp;L405&amp;"", ""&amp;M405&amp;"", ""&amp;N405&amp;"", ""&amp;O405&amp;"", ""&amp;P405&amp;"" WHERE '""&amp;B405&amp;""' CONTAINS D"", 0), """")"),17)</f>
        <v>17</v>
      </c>
      <c r="S405" s="89" t="n">
        <f aca="false">IFERROR(__xludf.dummyfunction("""COMPUTED_VALUE"""),15)</f>
        <v>15</v>
      </c>
      <c r="T405" s="89"/>
      <c r="U405" s="89"/>
      <c r="V405" s="89" t="n">
        <f aca="false">IFERROR(__xludf.dummyfunction("""COMPUTED_VALUE"""),9)</f>
        <v>9</v>
      </c>
      <c r="W405" s="89"/>
      <c r="X405" s="89" t="n">
        <f aca="false">IFERROR(__xludf.dummyfunction("""COMPUTED_VALUE"""),30)</f>
        <v>30</v>
      </c>
      <c r="Y405" s="89" t="n">
        <f aca="false">IFERROR(__xludf.dummyfunction("""COMPUTED_VALUE"""),71)</f>
        <v>71</v>
      </c>
    </row>
    <row r="406" customFormat="false" ht="17.9" hidden="false" customHeight="false" outlineLevel="0" collapsed="false">
      <c r="A406" s="85" t="n">
        <v>405</v>
      </c>
      <c r="B406" s="85" t="n">
        <v>468198</v>
      </c>
      <c r="C406" s="86" t="s">
        <v>506</v>
      </c>
      <c r="D406" s="87" t="s">
        <v>146</v>
      </c>
      <c r="E406" s="88" t="str">
        <f aca="false">D406</f>
        <v>P3113</v>
      </c>
      <c r="F406" s="88" t="str">
        <f aca="false">REPLACE(E406, 1, 3, "")</f>
        <v>13</v>
      </c>
      <c r="G406" s="89" t="str">
        <f aca="true">IFERROR(VLOOKUP(B406,INDIRECT("'"&amp;$F406&amp;"'!D3:D"),1,FALSE()), "Not found")</f>
        <v>Not found</v>
      </c>
      <c r="H406" s="89" t="n">
        <f aca="true">INDIRECT("'"&amp;$F406&amp;"'!D1")</f>
        <v>0</v>
      </c>
      <c r="I406" s="89" t="str">
        <f aca="false">IFERROR(__xludf.dummyfunction("REGEXEXTRACT(ADDRESS(ROW(), 19+$H406), ""[A-Z]+"")"),"S")</f>
        <v>S</v>
      </c>
      <c r="J406" s="89" t="str">
        <f aca="false">IFERROR(__xludf.dummyfunction("REGEXEXTRACT(ADDRESS(ROW(), 25+$H406), ""[A-Z]+"")"),"Y")</f>
        <v>Y</v>
      </c>
      <c r="K406" s="89" t="str">
        <f aca="false">IFERROR(__xludf.dummyfunction("REGEXEXTRACT(ADDRESS(ROW(), 27+$H406), ""[A-Z]+"")"),"AA")</f>
        <v>AA</v>
      </c>
      <c r="L406" s="89" t="str">
        <f aca="false">IFERROR(__xludf.dummyfunction("REGEXEXTRACT(ADDRESS(ROW(), 28+$H406), ""[A-Z]+"")"),"AB")</f>
        <v>AB</v>
      </c>
      <c r="M406" s="89" t="str">
        <f aca="false">IFERROR(__xludf.dummyfunction("REGEXEXTRACT(ADDRESS(ROW(), 34+$H406), ""[A-Z]+"")"),"AH")</f>
        <v>AH</v>
      </c>
      <c r="N406" s="89" t="str">
        <f aca="false">IFERROR(__xludf.dummyfunction("REGEXEXTRACT(ADDRESS(ROW(), 37+$H406), ""[A-Z]+"")"),"AK")</f>
        <v>AK</v>
      </c>
      <c r="O406" s="89" t="str">
        <f aca="false">IFERROR(__xludf.dummyfunction("REGEXEXTRACT(ADDRESS(ROW(), 38+$H406), ""[A-Z]+"")"),"AL")</f>
        <v>AL</v>
      </c>
      <c r="P406" s="89" t="str">
        <f aca="false">IFERROR(__xludf.dummyfunction("REGEXEXTRACT(ADDRESS(ROW(), 39+$H406), ""[A-Z]+"")"),"AM")</f>
        <v>AM</v>
      </c>
      <c r="Q406" s="89" t="str">
        <f aca="false">IFERROR(__xludf.dummyfunction("REGEXEXTRACT(ADDRESS(ROW(), 40+$H406), ""[A-Z]+"")"),"AN")</f>
        <v>AN</v>
      </c>
      <c r="R406" s="89" t="n">
        <f aca="false">IFERROR(__xludf.dummyfunction("IFERROR(QUERY(INDIRECT(""'""&amp;$F406&amp;""'!C3:""&amp;Q406&amp;""""), ""SELECT ""&amp;I406&amp;"", ""&amp;J406&amp;"", ""&amp;K406&amp;"", ""&amp;L406&amp;"", ""&amp;M406&amp;"", ""&amp;N406&amp;"", ""&amp;O406&amp;"", ""&amp;P406&amp;"" WHERE '""&amp;B406&amp;""' CONTAINS D"", 0), """")"),17)</f>
        <v>17</v>
      </c>
      <c r="S406" s="89" t="n">
        <f aca="false">IFERROR(__xludf.dummyfunction("""COMPUTED_VALUE"""),17)</f>
        <v>17</v>
      </c>
      <c r="T406" s="89"/>
      <c r="U406" s="89"/>
      <c r="V406" s="89" t="n">
        <f aca="false">IFERROR(__xludf.dummyfunction("""COMPUTED_VALUE"""),6)</f>
        <v>6</v>
      </c>
      <c r="W406" s="89"/>
      <c r="X406" s="89" t="n">
        <f aca="false">IFERROR(__xludf.dummyfunction("""COMPUTED_VALUE"""),24)</f>
        <v>24</v>
      </c>
      <c r="Y406" s="89" t="n">
        <f aca="false">IFERROR(__xludf.dummyfunction("""COMPUTED_VALUE"""),64)</f>
        <v>64</v>
      </c>
    </row>
    <row r="407" customFormat="false" ht="17.9" hidden="false" customHeight="false" outlineLevel="0" collapsed="false">
      <c r="A407" s="90" t="n">
        <v>406</v>
      </c>
      <c r="B407" s="90" t="n">
        <v>413033</v>
      </c>
      <c r="C407" s="91" t="s">
        <v>507</v>
      </c>
      <c r="D407" s="89" t="s">
        <v>85</v>
      </c>
      <c r="E407" s="88" t="str">
        <f aca="false">D407</f>
        <v>P3132</v>
      </c>
      <c r="F407" s="88" t="str">
        <f aca="false">REPLACE(E407, 1, 3, "")</f>
        <v>32</v>
      </c>
      <c r="G407" s="89" t="str">
        <f aca="true">IFERROR(VLOOKUP(B407,INDIRECT("'"&amp;$F407&amp;"'!D3:D"),1,FALSE()), "Not found")</f>
        <v>Not found</v>
      </c>
      <c r="H407" s="89" t="n">
        <f aca="true">INDIRECT("'"&amp;$F407&amp;"'!D1")</f>
        <v>0</v>
      </c>
      <c r="I407" s="89" t="str">
        <f aca="false">IFERROR(__xludf.dummyfunction("REGEXEXTRACT(ADDRESS(ROW(), 19+$H407), ""[A-Z]+"")"),"S")</f>
        <v>S</v>
      </c>
      <c r="J407" s="89" t="str">
        <f aca="false">IFERROR(__xludf.dummyfunction("REGEXEXTRACT(ADDRESS(ROW(), 25+$H407), ""[A-Z]+"")"),"Y")</f>
        <v>Y</v>
      </c>
      <c r="K407" s="89" t="str">
        <f aca="false">IFERROR(__xludf.dummyfunction("REGEXEXTRACT(ADDRESS(ROW(), 27+$H407), ""[A-Z]+"")"),"AA")</f>
        <v>AA</v>
      </c>
      <c r="L407" s="89" t="str">
        <f aca="false">IFERROR(__xludf.dummyfunction("REGEXEXTRACT(ADDRESS(ROW(), 28+$H407), ""[A-Z]+"")"),"AB")</f>
        <v>AB</v>
      </c>
      <c r="M407" s="89" t="str">
        <f aca="false">IFERROR(__xludf.dummyfunction("REGEXEXTRACT(ADDRESS(ROW(), 34+$H407), ""[A-Z]+"")"),"AH")</f>
        <v>AH</v>
      </c>
      <c r="N407" s="89" t="str">
        <f aca="false">IFERROR(__xludf.dummyfunction("REGEXEXTRACT(ADDRESS(ROW(), 37+$H407), ""[A-Z]+"")"),"AK")</f>
        <v>AK</v>
      </c>
      <c r="O407" s="89" t="str">
        <f aca="false">IFERROR(__xludf.dummyfunction("REGEXEXTRACT(ADDRESS(ROW(), 38+$H407), ""[A-Z]+"")"),"AL")</f>
        <v>AL</v>
      </c>
      <c r="P407" s="89" t="str">
        <f aca="false">IFERROR(__xludf.dummyfunction("REGEXEXTRACT(ADDRESS(ROW(), 39+$H407), ""[A-Z]+"")"),"AM")</f>
        <v>AM</v>
      </c>
      <c r="Q407" s="89" t="str">
        <f aca="false">IFERROR(__xludf.dummyfunction("REGEXEXTRACT(ADDRESS(ROW(), 40+$H407), ""[A-Z]+"")"),"AN")</f>
        <v>AN</v>
      </c>
      <c r="R407" s="89" t="str">
        <f aca="false">IFERROR(__xludf.dummyfunction("IFERROR(QUERY(INDIRECT(""'""&amp;$F407&amp;""'!C3:""&amp;Q407&amp;""""), ""SELECT ""&amp;I407&amp;"", ""&amp;J407&amp;"", ""&amp;K407&amp;"", ""&amp;L407&amp;"", ""&amp;M407&amp;"", ""&amp;N407&amp;"", ""&amp;O407&amp;"", ""&amp;P407&amp;"" WHERE '""&amp;B407&amp;""' CONTAINS D"", 0), """")"),"")</f>
        <v/>
      </c>
      <c r="S407" s="89"/>
      <c r="T407" s="89"/>
      <c r="U407" s="89"/>
      <c r="V407" s="89" t="n">
        <f aca="false">IFERROR(__xludf.dummyfunction("""COMPUTED_VALUE"""),0.1)</f>
        <v>0.1</v>
      </c>
      <c r="W407" s="89"/>
      <c r="X407" s="89"/>
      <c r="Y407" s="89" t="n">
        <f aca="false">IFERROR(__xludf.dummyfunction("""COMPUTED_VALUE"""),0.1)</f>
        <v>0.1</v>
      </c>
    </row>
    <row r="408" customFormat="false" ht="17.35" hidden="false" customHeight="false" outlineLevel="0" collapsed="false">
      <c r="A408" s="85" t="n">
        <v>407</v>
      </c>
      <c r="B408" s="90" t="n">
        <v>409581</v>
      </c>
      <c r="C408" s="90" t="s">
        <v>508</v>
      </c>
      <c r="D408" s="89" t="s">
        <v>151</v>
      </c>
      <c r="E408" s="88" t="str">
        <f aca="false">D408</f>
        <v>P3122</v>
      </c>
      <c r="F408" s="88" t="str">
        <f aca="false">REPLACE(E408, 1, 3, "")</f>
        <v>22</v>
      </c>
      <c r="G408" s="89" t="str">
        <f aca="true">IFERROR(VLOOKUP(B408,INDIRECT("'"&amp;$F408&amp;"'!D3:D"),1,FALSE()), "Not found")</f>
        <v>Not found</v>
      </c>
      <c r="H408" s="89" t="n">
        <f aca="true">INDIRECT("'"&amp;$F408&amp;"'!D1")</f>
        <v>0</v>
      </c>
      <c r="I408" s="89" t="str">
        <f aca="false">IFERROR(__xludf.dummyfunction("REGEXEXTRACT(ADDRESS(ROW(), 19+$H408), ""[A-Z]+"")"),"S")</f>
        <v>S</v>
      </c>
      <c r="J408" s="89" t="str">
        <f aca="false">IFERROR(__xludf.dummyfunction("REGEXEXTRACT(ADDRESS(ROW(), 25+$H408), ""[A-Z]+"")"),"Y")</f>
        <v>Y</v>
      </c>
      <c r="K408" s="89" t="str">
        <f aca="false">IFERROR(__xludf.dummyfunction("REGEXEXTRACT(ADDRESS(ROW(), 27+$H408), ""[A-Z]+"")"),"AA")</f>
        <v>AA</v>
      </c>
      <c r="L408" s="89" t="str">
        <f aca="false">IFERROR(__xludf.dummyfunction("REGEXEXTRACT(ADDRESS(ROW(), 28+$H408), ""[A-Z]+"")"),"AB")</f>
        <v>AB</v>
      </c>
      <c r="M408" s="89" t="str">
        <f aca="false">IFERROR(__xludf.dummyfunction("REGEXEXTRACT(ADDRESS(ROW(), 34+$H408), ""[A-Z]+"")"),"AH")</f>
        <v>AH</v>
      </c>
      <c r="N408" s="89" t="str">
        <f aca="false">IFERROR(__xludf.dummyfunction("REGEXEXTRACT(ADDRESS(ROW(), 37+$H408), ""[A-Z]+"")"),"AK")</f>
        <v>AK</v>
      </c>
      <c r="O408" s="89" t="str">
        <f aca="false">IFERROR(__xludf.dummyfunction("REGEXEXTRACT(ADDRESS(ROW(), 38+$H408), ""[A-Z]+"")"),"AL")</f>
        <v>AL</v>
      </c>
      <c r="P408" s="89" t="str">
        <f aca="false">IFERROR(__xludf.dummyfunction("REGEXEXTRACT(ADDRESS(ROW(), 39+$H408), ""[A-Z]+"")"),"AM")</f>
        <v>AM</v>
      </c>
      <c r="Q408" s="89" t="str">
        <f aca="false">IFERROR(__xludf.dummyfunction("REGEXEXTRACT(ADDRESS(ROW(), 40+$H408), ""[A-Z]+"")"),"AN")</f>
        <v>AN</v>
      </c>
      <c r="R408" s="89" t="n">
        <f aca="false">IFERROR(__xludf.dummyfunction("IFERROR(QUERY(INDIRECT(""'""&amp;$F408&amp;""'!C3:""&amp;Q408&amp;""""), ""SELECT ""&amp;I408&amp;"", ""&amp;J408&amp;"", ""&amp;K408&amp;"", ""&amp;L408&amp;"", ""&amp;M408&amp;"", ""&amp;N408&amp;"", ""&amp;O408&amp;"", ""&amp;P408&amp;"" WHERE '""&amp;B408&amp;""' CONTAINS D"", 0), """")"),18.5)</f>
        <v>18.5</v>
      </c>
      <c r="S408" s="89"/>
      <c r="T408" s="89"/>
      <c r="U408" s="89"/>
      <c r="V408" s="89" t="n">
        <f aca="false">IFERROR(__xludf.dummyfunction("""COMPUTED_VALUE"""),0)</f>
        <v>0</v>
      </c>
      <c r="W408" s="89"/>
      <c r="X408" s="89"/>
      <c r="Y408" s="89" t="n">
        <f aca="false">IFERROR(__xludf.dummyfunction("""COMPUTED_VALUE"""),18.5)</f>
        <v>18.5</v>
      </c>
    </row>
    <row r="409" customFormat="false" ht="17.35" hidden="false" customHeight="false" outlineLevel="0" collapsed="false">
      <c r="A409" s="85" t="n">
        <v>408</v>
      </c>
      <c r="B409" s="90" t="n">
        <v>408735</v>
      </c>
      <c r="C409" s="92" t="s">
        <v>509</v>
      </c>
      <c r="D409" s="89" t="s">
        <v>510</v>
      </c>
      <c r="E409" s="89" t="s">
        <v>510</v>
      </c>
      <c r="F409" s="88" t="str">
        <f aca="false">REPLACE(E409, 1, 3, "")</f>
        <v>06</v>
      </c>
      <c r="G409" s="89" t="str">
        <f aca="true">IFERROR(VLOOKUP(B409,INDIRECT("'"&amp;$F409&amp;"'!D3:D"),1,FALSE()), "Not found")</f>
        <v>Not found</v>
      </c>
      <c r="H409" s="89" t="n">
        <f aca="true">INDIRECT("'"&amp;$F409&amp;"'!D1")</f>
        <v>0</v>
      </c>
      <c r="I409" s="89" t="str">
        <f aca="false">IFERROR(__xludf.dummyfunction("REGEXEXTRACT(ADDRESS(ROW(), 19+$H409), ""[A-Z]+"")"),"S")</f>
        <v>S</v>
      </c>
      <c r="J409" s="89" t="str">
        <f aca="false">IFERROR(__xludf.dummyfunction("REGEXEXTRACT(ADDRESS(ROW(), 25+$H409), ""[A-Z]+"")"),"Y")</f>
        <v>Y</v>
      </c>
      <c r="K409" s="89" t="str">
        <f aca="false">IFERROR(__xludf.dummyfunction("REGEXEXTRACT(ADDRESS(ROW(), 27+$H409), ""[A-Z]+"")"),"AA")</f>
        <v>AA</v>
      </c>
      <c r="L409" s="89" t="str">
        <f aca="false">IFERROR(__xludf.dummyfunction("REGEXEXTRACT(ADDRESS(ROW(), 28+$H409), ""[A-Z]+"")"),"AB")</f>
        <v>AB</v>
      </c>
      <c r="M409" s="89" t="str">
        <f aca="false">IFERROR(__xludf.dummyfunction("REGEXEXTRACT(ADDRESS(ROW(), 34+$H409), ""[A-Z]+"")"),"AH")</f>
        <v>AH</v>
      </c>
      <c r="N409" s="89" t="str">
        <f aca="false">IFERROR(__xludf.dummyfunction("REGEXEXTRACT(ADDRESS(ROW(), 37+$H409), ""[A-Z]+"")"),"AK")</f>
        <v>AK</v>
      </c>
      <c r="O409" s="89" t="str">
        <f aca="false">IFERROR(__xludf.dummyfunction("REGEXEXTRACT(ADDRESS(ROW(), 38+$H409), ""[A-Z]+"")"),"AL")</f>
        <v>AL</v>
      </c>
      <c r="P409" s="89" t="str">
        <f aca="false">IFERROR(__xludf.dummyfunction("REGEXEXTRACT(ADDRESS(ROW(), 39+$H409), ""[A-Z]+"")"),"AM")</f>
        <v>AM</v>
      </c>
      <c r="Q409" s="89" t="str">
        <f aca="false">IFERROR(__xludf.dummyfunction("REGEXEXTRACT(ADDRESS(ROW(), 40+$H409), ""[A-Z]+"")"),"AN")</f>
        <v>AN</v>
      </c>
      <c r="R409" s="89" t="n">
        <f aca="false">IFERROR(__xludf.dummyfunction("IFERROR(QUERY(INDIRECT(""'""&amp;$F409&amp;""'!C3:""&amp;Q409&amp;""""), ""SELECT ""&amp;I409&amp;"", ""&amp;J409&amp;"", ""&amp;K409&amp;"", ""&amp;L409&amp;"", ""&amp;M409&amp;"", ""&amp;N409&amp;"", ""&amp;O409&amp;"", ""&amp;P409&amp;"" WHERE '""&amp;B409&amp;""' CONTAINS D"", 0), """")"),15)</f>
        <v>15</v>
      </c>
      <c r="S409" s="89" t="n">
        <f aca="false">IFERROR(__xludf.dummyfunction("""COMPUTED_VALUE"""),19)</f>
        <v>19</v>
      </c>
      <c r="T409" s="89"/>
      <c r="U409" s="89"/>
      <c r="V409" s="89" t="n">
        <f aca="false">IFERROR(__xludf.dummyfunction("""COMPUTED_VALUE"""),6)</f>
        <v>6</v>
      </c>
      <c r="W409" s="89"/>
      <c r="X409" s="89" t="n">
        <f aca="false">IFERROR(__xludf.dummyfunction("""COMPUTED_VALUE"""),40)</f>
        <v>40</v>
      </c>
      <c r="Y409" s="89" t="n">
        <f aca="false">IFERROR(__xludf.dummyfunction("""COMPUTED_VALUE"""),80)</f>
        <v>80</v>
      </c>
    </row>
    <row r="410" customFormat="false" ht="17.35" hidden="false" customHeight="false" outlineLevel="0" collapsed="false">
      <c r="A410" s="85" t="n">
        <v>409</v>
      </c>
      <c r="B410" s="90" t="n">
        <v>413004</v>
      </c>
      <c r="C410" s="92" t="s">
        <v>511</v>
      </c>
      <c r="D410" s="89" t="s">
        <v>510</v>
      </c>
      <c r="E410" s="89" t="s">
        <v>510</v>
      </c>
      <c r="F410" s="88" t="str">
        <f aca="false">REPLACE(E410, 1, 3, "")</f>
        <v>06</v>
      </c>
      <c r="G410" s="89" t="str">
        <f aca="true">IFERROR(VLOOKUP(B410,INDIRECT("'"&amp;$F410&amp;"'!D3:D"),1,FALSE()), "Not found")</f>
        <v>Not found</v>
      </c>
      <c r="H410" s="89" t="n">
        <f aca="true">INDIRECT("'"&amp;$F410&amp;"'!D1")</f>
        <v>0</v>
      </c>
      <c r="I410" s="89" t="str">
        <f aca="false">IFERROR(__xludf.dummyfunction("REGEXEXTRACT(ADDRESS(ROW(), 19+$H410), ""[A-Z]+"")"),"S")</f>
        <v>S</v>
      </c>
      <c r="J410" s="89" t="str">
        <f aca="false">IFERROR(__xludf.dummyfunction("REGEXEXTRACT(ADDRESS(ROW(), 25+$H410), ""[A-Z]+"")"),"Y")</f>
        <v>Y</v>
      </c>
      <c r="K410" s="89" t="str">
        <f aca="false">IFERROR(__xludf.dummyfunction("REGEXEXTRACT(ADDRESS(ROW(), 27+$H410), ""[A-Z]+"")"),"AA")</f>
        <v>AA</v>
      </c>
      <c r="L410" s="89" t="str">
        <f aca="false">IFERROR(__xludf.dummyfunction("REGEXEXTRACT(ADDRESS(ROW(), 28+$H410), ""[A-Z]+"")"),"AB")</f>
        <v>AB</v>
      </c>
      <c r="M410" s="89" t="str">
        <f aca="false">IFERROR(__xludf.dummyfunction("REGEXEXTRACT(ADDRESS(ROW(), 34+$H410), ""[A-Z]+"")"),"AH")</f>
        <v>AH</v>
      </c>
      <c r="N410" s="89" t="str">
        <f aca="false">IFERROR(__xludf.dummyfunction("REGEXEXTRACT(ADDRESS(ROW(), 37+$H410), ""[A-Z]+"")"),"AK")</f>
        <v>AK</v>
      </c>
      <c r="O410" s="89" t="str">
        <f aca="false">IFERROR(__xludf.dummyfunction("REGEXEXTRACT(ADDRESS(ROW(), 38+$H410), ""[A-Z]+"")"),"AL")</f>
        <v>AL</v>
      </c>
      <c r="P410" s="89" t="str">
        <f aca="false">IFERROR(__xludf.dummyfunction("REGEXEXTRACT(ADDRESS(ROW(), 39+$H410), ""[A-Z]+"")"),"AM")</f>
        <v>AM</v>
      </c>
      <c r="Q410" s="89" t="str">
        <f aca="false">IFERROR(__xludf.dummyfunction("REGEXEXTRACT(ADDRESS(ROW(), 40+$H410), ""[A-Z]+"")"),"AN")</f>
        <v>AN</v>
      </c>
      <c r="R410" s="89" t="n">
        <f aca="false">IFERROR(__xludf.dummyfunction("IFERROR(QUERY(INDIRECT(""'""&amp;$F410&amp;""'!C3:""&amp;Q410&amp;""""), ""SELECT ""&amp;I410&amp;"", ""&amp;J410&amp;"", ""&amp;K410&amp;"", ""&amp;L410&amp;"", ""&amp;M410&amp;"", ""&amp;N410&amp;"", ""&amp;O410&amp;"", ""&amp;P410&amp;"" WHERE '""&amp;B410&amp;""' CONTAINS D"", 0), """")"),18)</f>
        <v>18</v>
      </c>
      <c r="S410" s="89" t="n">
        <f aca="false">IFERROR(__xludf.dummyfunction("""COMPUTED_VALUE"""),16)</f>
        <v>16</v>
      </c>
      <c r="T410" s="89"/>
      <c r="U410" s="89"/>
      <c r="V410" s="89" t="n">
        <f aca="false">IFERROR(__xludf.dummyfunction("""COMPUTED_VALUE"""),8)</f>
        <v>8</v>
      </c>
      <c r="W410" s="89"/>
      <c r="X410" s="89" t="n">
        <f aca="false">IFERROR(__xludf.dummyfunction("""COMPUTED_VALUE"""),40)</f>
        <v>40</v>
      </c>
      <c r="Y410" s="89" t="n">
        <f aca="false">IFERROR(__xludf.dummyfunction("""COMPUTED_VALUE"""),82)</f>
        <v>82</v>
      </c>
    </row>
    <row r="411" customFormat="false" ht="17.35" hidden="false" customHeight="false" outlineLevel="0" collapsed="false">
      <c r="A411" s="85" t="n">
        <v>410</v>
      </c>
      <c r="B411" s="89" t="n">
        <v>474281</v>
      </c>
      <c r="C411" s="93" t="s">
        <v>512</v>
      </c>
      <c r="D411" s="94" t="s">
        <v>89</v>
      </c>
      <c r="E411" s="94" t="s">
        <v>89</v>
      </c>
      <c r="F411" s="88" t="str">
        <f aca="false">REPLACE(E411, 1, 3, "")</f>
        <v>19</v>
      </c>
      <c r="G411" s="89" t="str">
        <f aca="true">IFERROR(VLOOKUP(B411,INDIRECT("'"&amp;$F411&amp;"'!D3:D"),1,FALSE()), "Not found")</f>
        <v>Not found</v>
      </c>
      <c r="H411" s="89" t="n">
        <f aca="true">INDIRECT("'"&amp;$F411&amp;"'!D1")</f>
        <v>0</v>
      </c>
      <c r="I411" s="89" t="str">
        <f aca="false">IFERROR(__xludf.dummyfunction("REGEXEXTRACT(ADDRESS(ROW(), 19+$H411), ""[A-Z]+"")"),"S")</f>
        <v>S</v>
      </c>
      <c r="J411" s="89" t="str">
        <f aca="false">IFERROR(__xludf.dummyfunction("REGEXEXTRACT(ADDRESS(ROW(), 25+$H411), ""[A-Z]+"")"),"Y")</f>
        <v>Y</v>
      </c>
      <c r="K411" s="89" t="str">
        <f aca="false">IFERROR(__xludf.dummyfunction("REGEXEXTRACT(ADDRESS(ROW(), 27+$H411), ""[A-Z]+"")"),"AA")</f>
        <v>AA</v>
      </c>
      <c r="L411" s="89" t="str">
        <f aca="false">IFERROR(__xludf.dummyfunction("REGEXEXTRACT(ADDRESS(ROW(), 28+$H411), ""[A-Z]+"")"),"AB")</f>
        <v>AB</v>
      </c>
      <c r="M411" s="89" t="str">
        <f aca="false">IFERROR(__xludf.dummyfunction("REGEXEXTRACT(ADDRESS(ROW(), 34+$H411), ""[A-Z]+"")"),"AH")</f>
        <v>AH</v>
      </c>
      <c r="N411" s="89" t="str">
        <f aca="false">IFERROR(__xludf.dummyfunction("REGEXEXTRACT(ADDRESS(ROW(), 37+$H411), ""[A-Z]+"")"),"AK")</f>
        <v>AK</v>
      </c>
      <c r="O411" s="89" t="str">
        <f aca="false">IFERROR(__xludf.dummyfunction("REGEXEXTRACT(ADDRESS(ROW(), 38+$H411), ""[A-Z]+"")"),"AL")</f>
        <v>AL</v>
      </c>
      <c r="P411" s="89" t="str">
        <f aca="false">IFERROR(__xludf.dummyfunction("REGEXEXTRACT(ADDRESS(ROW(), 39+$H411), ""[A-Z]+"")"),"AM")</f>
        <v>AM</v>
      </c>
      <c r="Q411" s="89" t="str">
        <f aca="false">IFERROR(__xludf.dummyfunction("REGEXEXTRACT(ADDRESS(ROW(), 40+$H411), ""[A-Z]+"")"),"AN")</f>
        <v>AN</v>
      </c>
      <c r="R411" s="89" t="n">
        <f aca="false">IFERROR(__xludf.dummyfunction("IFERROR(QUERY(INDIRECT(""'""&amp;$F411&amp;""'!C3:""&amp;Q411&amp;""""), ""SELECT ""&amp;I411&amp;"", ""&amp;J411&amp;"", ""&amp;K411&amp;"", ""&amp;L411&amp;"", ""&amp;M411&amp;"", ""&amp;N411&amp;"", ""&amp;O411&amp;"", ""&amp;P411&amp;"" WHERE '""&amp;B411&amp;""' CONTAINS D"", 0), """")"),19)</f>
        <v>19</v>
      </c>
      <c r="S411" s="89" t="n">
        <f aca="false">IFERROR(__xludf.dummyfunction("""COMPUTED_VALUE"""),14)</f>
        <v>14</v>
      </c>
      <c r="T411" s="89"/>
      <c r="U411" s="89"/>
      <c r="V411" s="89" t="n">
        <f aca="false">IFERROR(__xludf.dummyfunction("""COMPUTED_VALUE"""),6)</f>
        <v>6</v>
      </c>
      <c r="W411" s="89"/>
      <c r="X411" s="89" t="n">
        <f aca="false">IFERROR(__xludf.dummyfunction("""COMPUTED_VALUE"""),38)</f>
        <v>38</v>
      </c>
      <c r="Y411" s="89" t="n">
        <f aca="false">IFERROR(__xludf.dummyfunction("""COMPUTED_VALUE"""),77)</f>
        <v>77</v>
      </c>
    </row>
    <row r="412" customFormat="false" ht="17.35" hidden="false" customHeight="false" outlineLevel="0" collapsed="false">
      <c r="A412" s="90" t="n">
        <v>411</v>
      </c>
      <c r="B412" s="90" t="n">
        <v>466047</v>
      </c>
      <c r="C412" s="90" t="s">
        <v>513</v>
      </c>
      <c r="D412" s="89" t="s">
        <v>157</v>
      </c>
      <c r="E412" s="89" t="s">
        <v>157</v>
      </c>
      <c r="F412" s="88" t="str">
        <f aca="false">REPLACE(E412, 1, 3, "")</f>
        <v>23</v>
      </c>
      <c r="G412" s="89" t="str">
        <f aca="true">IFERROR(VLOOKUP(B412,INDIRECT("'"&amp;$F412&amp;"'!D3:D"),1,FALSE()), "Not found")</f>
        <v>Not found</v>
      </c>
      <c r="H412" s="89" t="n">
        <f aca="true">INDIRECT("'"&amp;$F412&amp;"'!D1")</f>
        <v>1</v>
      </c>
      <c r="I412" s="89" t="str">
        <f aca="false">IFERROR(__xludf.dummyfunction("REGEXEXTRACT(ADDRESS(ROW(), 19+$H412), ""[A-Z]+"")"),"T")</f>
        <v>T</v>
      </c>
      <c r="J412" s="89" t="str">
        <f aca="false">IFERROR(__xludf.dummyfunction("REGEXEXTRACT(ADDRESS(ROW(), 25+$H412), ""[A-Z]+"")"),"Z")</f>
        <v>Z</v>
      </c>
      <c r="K412" s="89" t="str">
        <f aca="false">IFERROR(__xludf.dummyfunction("REGEXEXTRACT(ADDRESS(ROW(), 27+$H412), ""[A-Z]+"")"),"AB")</f>
        <v>AB</v>
      </c>
      <c r="L412" s="89" t="str">
        <f aca="false">IFERROR(__xludf.dummyfunction("REGEXEXTRACT(ADDRESS(ROW(), 28+$H412), ""[A-Z]+"")"),"AC")</f>
        <v>AC</v>
      </c>
      <c r="M412" s="89" t="str">
        <f aca="false">IFERROR(__xludf.dummyfunction("REGEXEXTRACT(ADDRESS(ROW(), 34+$H412), ""[A-Z]+"")"),"AI")</f>
        <v>AI</v>
      </c>
      <c r="N412" s="89" t="str">
        <f aca="false">IFERROR(__xludf.dummyfunction("REGEXEXTRACT(ADDRESS(ROW(), 37+$H412), ""[A-Z]+"")"),"AL")</f>
        <v>AL</v>
      </c>
      <c r="O412" s="89" t="str">
        <f aca="false">IFERROR(__xludf.dummyfunction("REGEXEXTRACT(ADDRESS(ROW(), 38+$H412), ""[A-Z]+"")"),"AM")</f>
        <v>AM</v>
      </c>
      <c r="P412" s="89" t="str">
        <f aca="false">IFERROR(__xludf.dummyfunction("REGEXEXTRACT(ADDRESS(ROW(), 39+$H412), ""[A-Z]+"")"),"AN")</f>
        <v>AN</v>
      </c>
      <c r="Q412" s="89" t="str">
        <f aca="false">IFERROR(__xludf.dummyfunction("REGEXEXTRACT(ADDRESS(ROW(), 40+$H412), ""[A-Z]+"")"),"AO")</f>
        <v>AO</v>
      </c>
      <c r="R412" s="89" t="n">
        <f aca="false">IFERROR(__xludf.dummyfunction("IFERROR(QUERY(INDIRECT(""'""&amp;$F412&amp;""'!C3:""&amp;Q412&amp;""""), ""SELECT ""&amp;I412&amp;"", ""&amp;J412&amp;"", ""&amp;K412&amp;"", ""&amp;L412&amp;"", ""&amp;M412&amp;"", ""&amp;N412&amp;"", ""&amp;O412&amp;"", ""&amp;P412&amp;"" WHERE '""&amp;B412&amp;""' CONTAINS D"", 0), """")"),19.5)</f>
        <v>19.5</v>
      </c>
      <c r="S412" s="89" t="n">
        <f aca="false">IFERROR(__xludf.dummyfunction("""COMPUTED_VALUE"""),19.8)</f>
        <v>19.8</v>
      </c>
      <c r="T412" s="89"/>
      <c r="U412" s="89"/>
      <c r="V412" s="89" t="n">
        <f aca="false">IFERROR(__xludf.dummyfunction("""COMPUTED_VALUE"""),6)</f>
        <v>6</v>
      </c>
      <c r="W412" s="89"/>
      <c r="X412" s="89" t="n">
        <f aca="false">IFERROR(__xludf.dummyfunction("""COMPUTED_VALUE"""),40)</f>
        <v>40</v>
      </c>
      <c r="Y412" s="89" t="n">
        <f aca="false">IFERROR(__xludf.dummyfunction("""COMPUTED_VALUE"""),85.3)</f>
        <v>85.3</v>
      </c>
    </row>
    <row r="413" customFormat="false" ht="17.35" hidden="false" customHeight="false" outlineLevel="0" collapsed="false">
      <c r="A413" s="85" t="n">
        <v>412</v>
      </c>
      <c r="B413" s="89" t="n">
        <v>413731</v>
      </c>
      <c r="C413" s="90" t="s">
        <v>514</v>
      </c>
      <c r="D413" s="89" t="s">
        <v>306</v>
      </c>
      <c r="E413" s="89" t="s">
        <v>306</v>
      </c>
      <c r="F413" s="88" t="str">
        <f aca="false">REPLACE(E413, 1, 3, "")</f>
        <v>24</v>
      </c>
      <c r="G413" s="89" t="str">
        <f aca="true">IFERROR(VLOOKUP(B413,INDIRECT("'"&amp;$F413&amp;"'!D3:D"),1,FALSE()), "Not found")</f>
        <v>Not found</v>
      </c>
      <c r="H413" s="89" t="n">
        <f aca="true">INDIRECT("'"&amp;$F413&amp;"'!D1")</f>
        <v>0</v>
      </c>
      <c r="I413" s="89" t="str">
        <f aca="false">IFERROR(__xludf.dummyfunction("REGEXEXTRACT(ADDRESS(ROW(), 19+$H413), ""[A-Z]+"")"),"S")</f>
        <v>S</v>
      </c>
      <c r="J413" s="89" t="str">
        <f aca="false">IFERROR(__xludf.dummyfunction("REGEXEXTRACT(ADDRESS(ROW(), 25+$H413), ""[A-Z]+"")"),"Y")</f>
        <v>Y</v>
      </c>
      <c r="K413" s="89" t="str">
        <f aca="false">IFERROR(__xludf.dummyfunction("REGEXEXTRACT(ADDRESS(ROW(), 27+$H413), ""[A-Z]+"")"),"AA")</f>
        <v>AA</v>
      </c>
      <c r="L413" s="89" t="str">
        <f aca="false">IFERROR(__xludf.dummyfunction("REGEXEXTRACT(ADDRESS(ROW(), 28+$H413), ""[A-Z]+"")"),"AB")</f>
        <v>AB</v>
      </c>
      <c r="M413" s="89" t="str">
        <f aca="false">IFERROR(__xludf.dummyfunction("REGEXEXTRACT(ADDRESS(ROW(), 34+$H413), ""[A-Z]+"")"),"AH")</f>
        <v>AH</v>
      </c>
      <c r="N413" s="89" t="str">
        <f aca="false">IFERROR(__xludf.dummyfunction("REGEXEXTRACT(ADDRESS(ROW(), 37+$H413), ""[A-Z]+"")"),"AK")</f>
        <v>AK</v>
      </c>
      <c r="O413" s="89" t="str">
        <f aca="false">IFERROR(__xludf.dummyfunction("REGEXEXTRACT(ADDRESS(ROW(), 38+$H413), ""[A-Z]+"")"),"AL")</f>
        <v>AL</v>
      </c>
      <c r="P413" s="89" t="str">
        <f aca="false">IFERROR(__xludf.dummyfunction("REGEXEXTRACT(ADDRESS(ROW(), 39+$H413), ""[A-Z]+"")"),"AM")</f>
        <v>AM</v>
      </c>
      <c r="Q413" s="89" t="str">
        <f aca="false">IFERROR(__xludf.dummyfunction("REGEXEXTRACT(ADDRESS(ROW(), 40+$H413), ""[A-Z]+"")"),"AN")</f>
        <v>AN</v>
      </c>
      <c r="R413" s="89" t="n">
        <f aca="false">IFERROR(__xludf.dummyfunction("IFERROR(QUERY(INDIRECT(""'""&amp;$F413&amp;""'!C3:""&amp;Q413&amp;""""), ""SELECT ""&amp;I413&amp;"", ""&amp;J413&amp;"", ""&amp;K413&amp;"", ""&amp;L413&amp;"", ""&amp;M413&amp;"", ""&amp;N413&amp;"", ""&amp;O413&amp;"", ""&amp;P413&amp;"" WHERE '""&amp;B413&amp;""' CONTAINS D"", 0), """")"),14)</f>
        <v>14</v>
      </c>
      <c r="S413" s="89" t="n">
        <f aca="false">IFERROR(__xludf.dummyfunction("""COMPUTED_VALUE"""),12)</f>
        <v>12</v>
      </c>
      <c r="T413" s="89"/>
      <c r="U413" s="89"/>
      <c r="V413" s="89" t="n">
        <f aca="false">IFERROR(__xludf.dummyfunction("""COMPUTED_VALUE"""),6)</f>
        <v>6</v>
      </c>
      <c r="W413" s="89"/>
      <c r="X413" s="89" t="n">
        <f aca="false">IFERROR(__xludf.dummyfunction("""COMPUTED_VALUE"""),29)</f>
        <v>29</v>
      </c>
      <c r="Y413" s="89" t="n">
        <f aca="false">IFERROR(__xludf.dummyfunction("""COMPUTED_VALUE"""),61)</f>
        <v>61</v>
      </c>
    </row>
    <row r="414" customFormat="false" ht="17.35" hidden="false" customHeight="false" outlineLevel="0" collapsed="false">
      <c r="A414" s="85" t="n">
        <v>413</v>
      </c>
      <c r="B414" s="89" t="n">
        <v>413798</v>
      </c>
      <c r="C414" s="90" t="s">
        <v>515</v>
      </c>
      <c r="D414" s="89" t="s">
        <v>306</v>
      </c>
      <c r="E414" s="89" t="s">
        <v>306</v>
      </c>
      <c r="F414" s="88" t="str">
        <f aca="false">REPLACE(E414, 1, 3, "")</f>
        <v>24</v>
      </c>
      <c r="G414" s="89" t="str">
        <f aca="true">IFERROR(VLOOKUP(B414,INDIRECT("'"&amp;$F414&amp;"'!D3:D"),1,FALSE()), "Not found")</f>
        <v>Not found</v>
      </c>
      <c r="H414" s="89" t="n">
        <f aca="true">INDIRECT("'"&amp;$F414&amp;"'!D1")</f>
        <v>0</v>
      </c>
      <c r="I414" s="89" t="str">
        <f aca="false">IFERROR(__xludf.dummyfunction("REGEXEXTRACT(ADDRESS(ROW(), 19+$H414), ""[A-Z]+"")"),"S")</f>
        <v>S</v>
      </c>
      <c r="J414" s="89" t="str">
        <f aca="false">IFERROR(__xludf.dummyfunction("REGEXEXTRACT(ADDRESS(ROW(), 25+$H414), ""[A-Z]+"")"),"Y")</f>
        <v>Y</v>
      </c>
      <c r="K414" s="89" t="str">
        <f aca="false">IFERROR(__xludf.dummyfunction("REGEXEXTRACT(ADDRESS(ROW(), 27+$H414), ""[A-Z]+"")"),"AA")</f>
        <v>AA</v>
      </c>
      <c r="L414" s="89" t="str">
        <f aca="false">IFERROR(__xludf.dummyfunction("REGEXEXTRACT(ADDRESS(ROW(), 28+$H414), ""[A-Z]+"")"),"AB")</f>
        <v>AB</v>
      </c>
      <c r="M414" s="89" t="str">
        <f aca="false">IFERROR(__xludf.dummyfunction("REGEXEXTRACT(ADDRESS(ROW(), 34+$H414), ""[A-Z]+"")"),"AH")</f>
        <v>AH</v>
      </c>
      <c r="N414" s="89" t="str">
        <f aca="false">IFERROR(__xludf.dummyfunction("REGEXEXTRACT(ADDRESS(ROW(), 37+$H414), ""[A-Z]+"")"),"AK")</f>
        <v>AK</v>
      </c>
      <c r="O414" s="89" t="str">
        <f aca="false">IFERROR(__xludf.dummyfunction("REGEXEXTRACT(ADDRESS(ROW(), 38+$H414), ""[A-Z]+"")"),"AL")</f>
        <v>AL</v>
      </c>
      <c r="P414" s="89" t="str">
        <f aca="false">IFERROR(__xludf.dummyfunction("REGEXEXTRACT(ADDRESS(ROW(), 39+$H414), ""[A-Z]+"")"),"AM")</f>
        <v>AM</v>
      </c>
      <c r="Q414" s="89" t="str">
        <f aca="false">IFERROR(__xludf.dummyfunction("REGEXEXTRACT(ADDRESS(ROW(), 40+$H414), ""[A-Z]+"")"),"AN")</f>
        <v>AN</v>
      </c>
      <c r="R414" s="89" t="str">
        <f aca="false">IFERROR(__xludf.dummyfunction("IFERROR(QUERY(INDIRECT(""'""&amp;$F414&amp;""'!C3:""&amp;Q414&amp;""""), ""SELECT ""&amp;I414&amp;"", ""&amp;J414&amp;"", ""&amp;K414&amp;"", ""&amp;L414&amp;"", ""&amp;M414&amp;"", ""&amp;N414&amp;"", ""&amp;O414&amp;"", ""&amp;P414&amp;"" WHERE '""&amp;B414&amp;""' CONTAINS D"", 0), """")"),"")</f>
        <v/>
      </c>
      <c r="S414" s="89"/>
      <c r="T414" s="89"/>
      <c r="U414" s="89"/>
      <c r="V414" s="89"/>
      <c r="W414" s="89"/>
      <c r="X414" s="89"/>
      <c r="Y414" s="89"/>
    </row>
    <row r="415" customFormat="false" ht="17.35" hidden="false" customHeight="false" outlineLevel="0" collapsed="false">
      <c r="A415" s="85" t="n">
        <v>414</v>
      </c>
      <c r="B415" s="89" t="n">
        <v>486552</v>
      </c>
      <c r="C415" s="90" t="s">
        <v>516</v>
      </c>
      <c r="D415" s="89" t="s">
        <v>127</v>
      </c>
      <c r="E415" s="89" t="s">
        <v>127</v>
      </c>
      <c r="F415" s="88" t="str">
        <f aca="false">REPLACE(E415, 1, 3, "")</f>
        <v>31</v>
      </c>
      <c r="G415" s="89" t="str">
        <f aca="true">IFERROR(VLOOKUP(B415,INDIRECT("'"&amp;$F415&amp;"'!D3:D"),1,FALSE()), "Not found")</f>
        <v>Not found</v>
      </c>
      <c r="H415" s="89" t="n">
        <f aca="true">INDIRECT("'"&amp;$F415&amp;"'!D1")</f>
        <v>0</v>
      </c>
      <c r="I415" s="89" t="str">
        <f aca="false">IFERROR(__xludf.dummyfunction("REGEXEXTRACT(ADDRESS(ROW(), 19+$H415), ""[A-Z]+"")"),"S")</f>
        <v>S</v>
      </c>
      <c r="J415" s="89" t="str">
        <f aca="false">IFERROR(__xludf.dummyfunction("REGEXEXTRACT(ADDRESS(ROW(), 25+$H415), ""[A-Z]+"")"),"Y")</f>
        <v>Y</v>
      </c>
      <c r="K415" s="89" t="str">
        <f aca="false">IFERROR(__xludf.dummyfunction("REGEXEXTRACT(ADDRESS(ROW(), 27+$H415), ""[A-Z]+"")"),"AA")</f>
        <v>AA</v>
      </c>
      <c r="L415" s="89" t="str">
        <f aca="false">IFERROR(__xludf.dummyfunction("REGEXEXTRACT(ADDRESS(ROW(), 28+$H415), ""[A-Z]+"")"),"AB")</f>
        <v>AB</v>
      </c>
      <c r="M415" s="89" t="str">
        <f aca="false">IFERROR(__xludf.dummyfunction("REGEXEXTRACT(ADDRESS(ROW(), 34+$H415), ""[A-Z]+"")"),"AH")</f>
        <v>AH</v>
      </c>
      <c r="N415" s="89" t="str">
        <f aca="false">IFERROR(__xludf.dummyfunction("REGEXEXTRACT(ADDRESS(ROW(), 37+$H415), ""[A-Z]+"")"),"AK")</f>
        <v>AK</v>
      </c>
      <c r="O415" s="89" t="str">
        <f aca="false">IFERROR(__xludf.dummyfunction("REGEXEXTRACT(ADDRESS(ROW(), 38+$H415), ""[A-Z]+"")"),"AL")</f>
        <v>AL</v>
      </c>
      <c r="P415" s="89" t="str">
        <f aca="false">IFERROR(__xludf.dummyfunction("REGEXEXTRACT(ADDRESS(ROW(), 39+$H415), ""[A-Z]+"")"),"AM")</f>
        <v>AM</v>
      </c>
      <c r="Q415" s="89" t="str">
        <f aca="false">IFERROR(__xludf.dummyfunction("REGEXEXTRACT(ADDRESS(ROW(), 40+$H415), ""[A-Z]+"")"),"AN")</f>
        <v>AN</v>
      </c>
      <c r="R415" s="89" t="str">
        <f aca="false">IFERROR(__xludf.dummyfunction("IFERROR(QUERY(INDIRECT(""'""&amp;$F415&amp;""'!C3:""&amp;Q415&amp;""""), ""SELECT ""&amp;I415&amp;"", ""&amp;J415&amp;"", ""&amp;K415&amp;"", ""&amp;L415&amp;"", ""&amp;M415&amp;"", ""&amp;N415&amp;"", ""&amp;O415&amp;"", ""&amp;P415&amp;"" WHERE '""&amp;B415&amp;""' CONTAINS D"", 0), """")"),"")</f>
        <v/>
      </c>
      <c r="S415" s="89"/>
      <c r="T415" s="89"/>
      <c r="U415" s="89"/>
      <c r="V415" s="89"/>
      <c r="W415" s="89"/>
      <c r="X415" s="89"/>
      <c r="Y415" s="89"/>
    </row>
    <row r="416" customFormat="false" ht="17.35" hidden="false" customHeight="false" outlineLevel="0" collapsed="false">
      <c r="A416" s="85" t="n">
        <v>415</v>
      </c>
      <c r="B416" s="89" t="n">
        <v>408578</v>
      </c>
      <c r="C416" s="90" t="s">
        <v>517</v>
      </c>
      <c r="D416" s="89" t="s">
        <v>127</v>
      </c>
      <c r="E416" s="89" t="s">
        <v>127</v>
      </c>
      <c r="F416" s="88" t="str">
        <f aca="false">REPLACE(E416, 1, 3, "")</f>
        <v>31</v>
      </c>
      <c r="G416" s="89" t="str">
        <f aca="true">IFERROR(VLOOKUP(B416,INDIRECT("'"&amp;$F416&amp;"'!D3:D"),1,FALSE()), "Not found")</f>
        <v>Not found</v>
      </c>
      <c r="H416" s="89" t="n">
        <f aca="true">INDIRECT("'"&amp;$F416&amp;"'!D1")</f>
        <v>0</v>
      </c>
      <c r="I416" s="89" t="str">
        <f aca="false">IFERROR(__xludf.dummyfunction("REGEXEXTRACT(ADDRESS(ROW(), 19+$H416), ""[A-Z]+"")"),"S")</f>
        <v>S</v>
      </c>
      <c r="J416" s="89" t="str">
        <f aca="false">IFERROR(__xludf.dummyfunction("REGEXEXTRACT(ADDRESS(ROW(), 25+$H416), ""[A-Z]+"")"),"Y")</f>
        <v>Y</v>
      </c>
      <c r="K416" s="89" t="str">
        <f aca="false">IFERROR(__xludf.dummyfunction("REGEXEXTRACT(ADDRESS(ROW(), 27+$H416), ""[A-Z]+"")"),"AA")</f>
        <v>AA</v>
      </c>
      <c r="L416" s="89" t="str">
        <f aca="false">IFERROR(__xludf.dummyfunction("REGEXEXTRACT(ADDRESS(ROW(), 28+$H416), ""[A-Z]+"")"),"AB")</f>
        <v>AB</v>
      </c>
      <c r="M416" s="89" t="str">
        <f aca="false">IFERROR(__xludf.dummyfunction("REGEXEXTRACT(ADDRESS(ROW(), 34+$H416), ""[A-Z]+"")"),"AH")</f>
        <v>AH</v>
      </c>
      <c r="N416" s="89" t="str">
        <f aca="false">IFERROR(__xludf.dummyfunction("REGEXEXTRACT(ADDRESS(ROW(), 37+$H416), ""[A-Z]+"")"),"AK")</f>
        <v>AK</v>
      </c>
      <c r="O416" s="89" t="str">
        <f aca="false">IFERROR(__xludf.dummyfunction("REGEXEXTRACT(ADDRESS(ROW(), 38+$H416), ""[A-Z]+"")"),"AL")</f>
        <v>AL</v>
      </c>
      <c r="P416" s="89" t="str">
        <f aca="false">IFERROR(__xludf.dummyfunction("REGEXEXTRACT(ADDRESS(ROW(), 39+$H416), ""[A-Z]+"")"),"AM")</f>
        <v>AM</v>
      </c>
      <c r="Q416" s="89" t="str">
        <f aca="false">IFERROR(__xludf.dummyfunction("REGEXEXTRACT(ADDRESS(ROW(), 40+$H416), ""[A-Z]+"")"),"AN")</f>
        <v>AN</v>
      </c>
      <c r="R416" s="89" t="n">
        <f aca="false">IFERROR(__xludf.dummyfunction("IFERROR(QUERY(INDIRECT(""'""&amp;$F416&amp;""'!C3:""&amp;Q416&amp;""""), ""SELECT ""&amp;I416&amp;"", ""&amp;J416&amp;"", ""&amp;K416&amp;"", ""&amp;L416&amp;"", ""&amp;M416&amp;"", ""&amp;N416&amp;"", ""&amp;O416&amp;"", ""&amp;P416&amp;"" WHERE '""&amp;B416&amp;""' CONTAINS D"", 0), """")"),16.5)</f>
        <v>16.5</v>
      </c>
      <c r="S416" s="89" t="n">
        <f aca="false">IFERROR(__xludf.dummyfunction("""COMPUTED_VALUE"""),12)</f>
        <v>12</v>
      </c>
      <c r="T416" s="89"/>
      <c r="U416" s="89"/>
      <c r="V416" s="89" t="n">
        <f aca="false">IFERROR(__xludf.dummyfunction("""COMPUTED_VALUE"""),6)</f>
        <v>6</v>
      </c>
      <c r="W416" s="89" t="n">
        <f aca="false">IFERROR(__xludf.dummyfunction("""COMPUTED_VALUE"""),2)</f>
        <v>2</v>
      </c>
      <c r="X416" s="89" t="n">
        <f aca="false">IFERROR(__xludf.dummyfunction("""COMPUTED_VALUE"""),24)</f>
        <v>24</v>
      </c>
      <c r="Y416" s="89" t="n">
        <f aca="false">IFERROR(__xludf.dummyfunction("""COMPUTED_VALUE"""),60.5)</f>
        <v>60.5</v>
      </c>
    </row>
    <row r="417" customFormat="false" ht="17.35" hidden="false" customHeight="false" outlineLevel="0" collapsed="false">
      <c r="A417" s="95"/>
      <c r="B417" s="95"/>
      <c r="C417" s="95"/>
      <c r="D417" s="89"/>
      <c r="E417" s="96"/>
      <c r="F417" s="88" t="str">
        <f aca="false">REPLACE(E417, 1, 3, "")</f>
        <v/>
      </c>
      <c r="G417" s="89" t="str">
        <f aca="true">IFERROR(VLOOKUP(B417,INDIRECT("'"&amp;$F417&amp;"'!D3:D"),1,FALSE()), "Not found")</f>
        <v>Not found</v>
      </c>
      <c r="H417" s="89" t="e">
        <f aca="true">INDIRECT("'"&amp;$F417&amp;"'!D1")</f>
        <v>#REF!</v>
      </c>
      <c r="I417" s="89" t="str">
        <f aca="false">IFERROR(__xludf.dummyfunction("REGEXEXTRACT(ADDRESS(ROW(), 19+$H417), ""[A-Z]+"")"),"#VALUE!")</f>
        <v>#VALUE!</v>
      </c>
      <c r="J417" s="89" t="str">
        <f aca="false">IFERROR(__xludf.dummyfunction("REGEXEXTRACT(ADDRESS(ROW(), 25+$H417), ""[A-Z]+"")"),"#VALUE!")</f>
        <v>#VALUE!</v>
      </c>
      <c r="K417" s="89" t="str">
        <f aca="false">IFERROR(__xludf.dummyfunction("REGEXEXTRACT(ADDRESS(ROW(), 27+$H417), ""[A-Z]+"")"),"#VALUE!")</f>
        <v>#VALUE!</v>
      </c>
      <c r="L417" s="89" t="str">
        <f aca="false">IFERROR(__xludf.dummyfunction("REGEXEXTRACT(ADDRESS(ROW(), 28+$H417), ""[A-Z]+"")"),"#VALUE!")</f>
        <v>#VALUE!</v>
      </c>
      <c r="M417" s="89" t="str">
        <f aca="false">IFERROR(__xludf.dummyfunction("REGEXEXTRACT(ADDRESS(ROW(), 34+$H417), ""[A-Z]+"")"),"#VALUE!")</f>
        <v>#VALUE!</v>
      </c>
      <c r="N417" s="89" t="str">
        <f aca="false">IFERROR(__xludf.dummyfunction("REGEXEXTRACT(ADDRESS(ROW(), 37+$H417), ""[A-Z]+"")"),"#VALUE!")</f>
        <v>#VALUE!</v>
      </c>
      <c r="O417" s="89" t="str">
        <f aca="false">IFERROR(__xludf.dummyfunction("REGEXEXTRACT(ADDRESS(ROW(), 38+$H417), ""[A-Z]+"")"),"#VALUE!")</f>
        <v>#VALUE!</v>
      </c>
      <c r="P417" s="89" t="str">
        <f aca="false">IFERROR(__xludf.dummyfunction("REGEXEXTRACT(ADDRESS(ROW(), 39+$H417), ""[A-Z]+"")"),"#VALUE!")</f>
        <v>#VALUE!</v>
      </c>
      <c r="Q417" s="89" t="str">
        <f aca="false">IFERROR(__xludf.dummyfunction("REGEXEXTRACT(ADDRESS(ROW(), 40+$H417), ""[A-Z]+"")"),"#VALUE!")</f>
        <v>#VALUE!</v>
      </c>
      <c r="R417" s="89" t="str">
        <f aca="false">IFERROR(__xludf.dummyfunction("IFERROR(QUERY(INDIRECT(""'""&amp;$F417&amp;""'!C3:""&amp;Q417&amp;""""), ""SELECT ""&amp;I417&amp;"", ""&amp;J417&amp;"", ""&amp;K417&amp;"", ""&amp;L417&amp;"", ""&amp;M417&amp;"", ""&amp;N417&amp;"", ""&amp;O417&amp;"", ""&amp;P417&amp;"" WHERE '""&amp;B417&amp;""' CONTAINS D"", 0), """")"),"")</f>
        <v/>
      </c>
      <c r="S417" s="89"/>
      <c r="T417" s="89"/>
      <c r="U417" s="89"/>
      <c r="V417" s="89"/>
      <c r="W417" s="89"/>
      <c r="X417" s="89"/>
      <c r="Y417" s="89"/>
    </row>
    <row r="418" customFormat="false" ht="17.35" hidden="false" customHeight="false" outlineLevel="0" collapsed="false">
      <c r="A418" s="95"/>
      <c r="B418" s="95"/>
      <c r="C418" s="95"/>
      <c r="D418" s="89"/>
      <c r="E418" s="96"/>
      <c r="F418" s="88" t="str">
        <f aca="false">REPLACE(E418, 1, 3, "")</f>
        <v/>
      </c>
      <c r="G418" s="89" t="str">
        <f aca="true">IFERROR(VLOOKUP(B418,INDIRECT("'"&amp;$F418&amp;"'!D3:D"),1,FALSE()), "Not found")</f>
        <v>Not found</v>
      </c>
      <c r="H418" s="89" t="e">
        <f aca="true">INDIRECT("'"&amp;$F418&amp;"'!D1")</f>
        <v>#REF!</v>
      </c>
      <c r="I418" s="89" t="str">
        <f aca="false">IFERROR(__xludf.dummyfunction("REGEXEXTRACT(ADDRESS(ROW(), 19+$H418), ""[A-Z]+"")"),"#VALUE!")</f>
        <v>#VALUE!</v>
      </c>
      <c r="J418" s="89" t="str">
        <f aca="false">IFERROR(__xludf.dummyfunction("REGEXEXTRACT(ADDRESS(ROW(), 25+$H418), ""[A-Z]+"")"),"#VALUE!")</f>
        <v>#VALUE!</v>
      </c>
      <c r="K418" s="89" t="str">
        <f aca="false">IFERROR(__xludf.dummyfunction("REGEXEXTRACT(ADDRESS(ROW(), 27+$H418), ""[A-Z]+"")"),"#VALUE!")</f>
        <v>#VALUE!</v>
      </c>
      <c r="L418" s="89" t="str">
        <f aca="false">IFERROR(__xludf.dummyfunction("REGEXEXTRACT(ADDRESS(ROW(), 28+$H418), ""[A-Z]+"")"),"#VALUE!")</f>
        <v>#VALUE!</v>
      </c>
      <c r="M418" s="89" t="str">
        <f aca="false">IFERROR(__xludf.dummyfunction("REGEXEXTRACT(ADDRESS(ROW(), 34+$H418), ""[A-Z]+"")"),"#VALUE!")</f>
        <v>#VALUE!</v>
      </c>
      <c r="N418" s="89" t="str">
        <f aca="false">IFERROR(__xludf.dummyfunction("REGEXEXTRACT(ADDRESS(ROW(), 37+$H418), ""[A-Z]+"")"),"#VALUE!")</f>
        <v>#VALUE!</v>
      </c>
      <c r="O418" s="89" t="str">
        <f aca="false">IFERROR(__xludf.dummyfunction("REGEXEXTRACT(ADDRESS(ROW(), 38+$H418), ""[A-Z]+"")"),"#VALUE!")</f>
        <v>#VALUE!</v>
      </c>
      <c r="P418" s="89" t="str">
        <f aca="false">IFERROR(__xludf.dummyfunction("REGEXEXTRACT(ADDRESS(ROW(), 39+$H418), ""[A-Z]+"")"),"#VALUE!")</f>
        <v>#VALUE!</v>
      </c>
      <c r="Q418" s="89" t="str">
        <f aca="false">IFERROR(__xludf.dummyfunction("REGEXEXTRACT(ADDRESS(ROW(), 40+$H418), ""[A-Z]+"")"),"#VALUE!")</f>
        <v>#VALUE!</v>
      </c>
      <c r="R418" s="89" t="str">
        <f aca="false">IFERROR(__xludf.dummyfunction("IFERROR(QUERY(INDIRECT(""'""&amp;$F418&amp;""'!C3:""&amp;Q418&amp;""""), ""SELECT ""&amp;I418&amp;"", ""&amp;J418&amp;"", ""&amp;K418&amp;"", ""&amp;L418&amp;"", ""&amp;M418&amp;"", ""&amp;N418&amp;"", ""&amp;O418&amp;"", ""&amp;P418&amp;"" WHERE '""&amp;B418&amp;""' CONTAINS D"", 0), """")"),"")</f>
        <v/>
      </c>
      <c r="S418" s="89"/>
      <c r="T418" s="89"/>
      <c r="U418" s="89"/>
      <c r="V418" s="89"/>
      <c r="W418" s="89"/>
      <c r="X418" s="89"/>
      <c r="Y418" s="89"/>
    </row>
    <row r="419" customFormat="false" ht="15.75" hidden="false" customHeight="false" outlineLevel="0" collapsed="false">
      <c r="A419" s="95"/>
      <c r="B419" s="95"/>
      <c r="C419" s="26"/>
      <c r="D419" s="97"/>
      <c r="E419" s="27"/>
      <c r="F419" s="96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</row>
    <row r="420" customFormat="false" ht="15.75" hidden="false" customHeight="false" outlineLevel="0" collapsed="false">
      <c r="A420" s="95"/>
      <c r="B420" s="95"/>
      <c r="C420" s="95"/>
      <c r="D420" s="89"/>
      <c r="E420" s="96"/>
      <c r="F420" s="96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</row>
    <row r="421" customFormat="false" ht="15.75" hidden="false" customHeight="false" outlineLevel="0" collapsed="false">
      <c r="A421" s="95"/>
      <c r="B421" s="95"/>
      <c r="C421" s="95"/>
      <c r="D421" s="89"/>
      <c r="E421" s="96"/>
      <c r="F421" s="96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</row>
    <row r="422" customFormat="false" ht="15.75" hidden="false" customHeight="false" outlineLevel="0" collapsed="false">
      <c r="A422" s="95"/>
      <c r="B422" s="95"/>
      <c r="C422" s="95"/>
      <c r="D422" s="89"/>
      <c r="E422" s="96"/>
      <c r="F422" s="96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</row>
    <row r="423" customFormat="false" ht="15.75" hidden="false" customHeight="false" outlineLevel="0" collapsed="false">
      <c r="A423" s="95"/>
      <c r="B423" s="95"/>
      <c r="C423" s="95"/>
      <c r="D423" s="89"/>
      <c r="E423" s="96"/>
      <c r="F423" s="96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</row>
    <row r="424" customFormat="false" ht="15.75" hidden="false" customHeight="false" outlineLevel="0" collapsed="false">
      <c r="A424" s="95"/>
      <c r="B424" s="95"/>
      <c r="C424" s="95"/>
      <c r="D424" s="89"/>
      <c r="E424" s="96"/>
      <c r="F424" s="96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</row>
    <row r="425" customFormat="false" ht="15.75" hidden="false" customHeight="false" outlineLevel="0" collapsed="false">
      <c r="A425" s="95"/>
      <c r="B425" s="95"/>
      <c r="C425" s="95"/>
      <c r="D425" s="89"/>
      <c r="E425" s="96"/>
      <c r="F425" s="96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</row>
    <row r="426" customFormat="false" ht="15.75" hidden="false" customHeight="false" outlineLevel="0" collapsed="false">
      <c r="A426" s="95"/>
      <c r="B426" s="95"/>
      <c r="C426" s="95"/>
      <c r="D426" s="89"/>
      <c r="E426" s="96"/>
      <c r="F426" s="96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</row>
    <row r="427" customFormat="false" ht="15.75" hidden="false" customHeight="false" outlineLevel="0" collapsed="false">
      <c r="A427" s="95"/>
      <c r="B427" s="95"/>
      <c r="C427" s="95"/>
      <c r="D427" s="89"/>
      <c r="E427" s="96"/>
      <c r="F427" s="96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</row>
    <row r="428" customFormat="false" ht="15.75" hidden="false" customHeight="false" outlineLevel="0" collapsed="false">
      <c r="A428" s="95"/>
      <c r="B428" s="95"/>
      <c r="C428" s="95"/>
      <c r="D428" s="89"/>
      <c r="E428" s="96"/>
      <c r="F428" s="96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</row>
    <row r="429" customFormat="false" ht="15.75" hidden="false" customHeight="false" outlineLevel="0" collapsed="false">
      <c r="A429" s="95"/>
      <c r="B429" s="95"/>
      <c r="C429" s="95"/>
      <c r="D429" s="89"/>
      <c r="E429" s="96"/>
      <c r="F429" s="96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</row>
    <row r="430" customFormat="false" ht="15.75" hidden="false" customHeight="false" outlineLevel="0" collapsed="false">
      <c r="A430" s="95"/>
      <c r="B430" s="95"/>
      <c r="C430" s="95"/>
      <c r="D430" s="89"/>
      <c r="E430" s="96"/>
      <c r="F430" s="96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</row>
    <row r="431" customFormat="false" ht="15.75" hidden="false" customHeight="false" outlineLevel="0" collapsed="false">
      <c r="A431" s="95"/>
      <c r="B431" s="95"/>
      <c r="C431" s="95"/>
      <c r="D431" s="89"/>
      <c r="E431" s="96"/>
      <c r="F431" s="96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</row>
    <row r="432" customFormat="false" ht="15.75" hidden="false" customHeight="false" outlineLevel="0" collapsed="false">
      <c r="A432" s="95"/>
      <c r="B432" s="95"/>
      <c r="C432" s="95"/>
      <c r="D432" s="89"/>
      <c r="E432" s="96"/>
      <c r="F432" s="96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</row>
    <row r="433" customFormat="false" ht="15.75" hidden="false" customHeight="false" outlineLevel="0" collapsed="false">
      <c r="A433" s="95"/>
      <c r="B433" s="95"/>
      <c r="C433" s="95"/>
      <c r="D433" s="89"/>
      <c r="E433" s="96"/>
      <c r="F433" s="96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</row>
    <row r="434" customFormat="false" ht="15.75" hidden="false" customHeight="false" outlineLevel="0" collapsed="false">
      <c r="A434" s="95"/>
      <c r="B434" s="95"/>
      <c r="C434" s="95"/>
      <c r="D434" s="89"/>
      <c r="E434" s="96"/>
      <c r="F434" s="96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</row>
    <row r="435" customFormat="false" ht="15.75" hidden="false" customHeight="false" outlineLevel="0" collapsed="false">
      <c r="A435" s="95"/>
      <c r="B435" s="95"/>
      <c r="C435" s="95"/>
      <c r="D435" s="89"/>
      <c r="E435" s="96"/>
      <c r="F435" s="96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</row>
    <row r="436" customFormat="false" ht="15.75" hidden="false" customHeight="false" outlineLevel="0" collapsed="false">
      <c r="A436" s="95"/>
      <c r="B436" s="95"/>
      <c r="C436" s="95"/>
      <c r="D436" s="89"/>
      <c r="E436" s="96"/>
      <c r="F436" s="96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</row>
    <row r="437" customFormat="false" ht="15.75" hidden="false" customHeight="false" outlineLevel="0" collapsed="false">
      <c r="A437" s="95"/>
      <c r="B437" s="95"/>
      <c r="C437" s="95"/>
      <c r="D437" s="89"/>
      <c r="E437" s="96"/>
      <c r="F437" s="96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</row>
    <row r="438" customFormat="false" ht="15.75" hidden="false" customHeight="false" outlineLevel="0" collapsed="false">
      <c r="A438" s="95"/>
      <c r="B438" s="95"/>
      <c r="C438" s="95"/>
      <c r="D438" s="89"/>
      <c r="E438" s="96"/>
      <c r="F438" s="96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</row>
    <row r="439" customFormat="false" ht="15.75" hidden="false" customHeight="false" outlineLevel="0" collapsed="false">
      <c r="A439" s="95"/>
      <c r="B439" s="95"/>
      <c r="C439" s="95"/>
      <c r="D439" s="89"/>
      <c r="E439" s="96"/>
      <c r="F439" s="96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</row>
    <row r="440" customFormat="false" ht="15.75" hidden="false" customHeight="false" outlineLevel="0" collapsed="false">
      <c r="A440" s="95"/>
      <c r="B440" s="95"/>
      <c r="C440" s="95"/>
      <c r="D440" s="89"/>
      <c r="E440" s="96"/>
      <c r="F440" s="96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</row>
    <row r="441" customFormat="false" ht="15.75" hidden="false" customHeight="false" outlineLevel="0" collapsed="false">
      <c r="A441" s="95"/>
      <c r="B441" s="95"/>
      <c r="C441" s="95"/>
      <c r="D441" s="89"/>
      <c r="E441" s="96"/>
      <c r="F441" s="96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</row>
    <row r="442" customFormat="false" ht="15.75" hidden="false" customHeight="false" outlineLevel="0" collapsed="false">
      <c r="A442" s="95"/>
      <c r="B442" s="95"/>
      <c r="C442" s="95"/>
      <c r="D442" s="89"/>
      <c r="E442" s="96"/>
      <c r="F442" s="96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</row>
    <row r="443" customFormat="false" ht="15.75" hidden="false" customHeight="false" outlineLevel="0" collapsed="false">
      <c r="A443" s="95"/>
      <c r="B443" s="95"/>
      <c r="C443" s="95"/>
      <c r="D443" s="89"/>
      <c r="E443" s="96"/>
      <c r="F443" s="96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</row>
    <row r="444" customFormat="false" ht="15.75" hidden="false" customHeight="false" outlineLevel="0" collapsed="false">
      <c r="A444" s="95"/>
      <c r="B444" s="95"/>
      <c r="C444" s="95"/>
      <c r="D444" s="89"/>
      <c r="E444" s="96"/>
      <c r="F444" s="96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</row>
    <row r="445" customFormat="false" ht="15.75" hidden="false" customHeight="false" outlineLevel="0" collapsed="false">
      <c r="A445" s="95"/>
      <c r="B445" s="95"/>
      <c r="C445" s="95"/>
      <c r="D445" s="89"/>
      <c r="E445" s="96"/>
      <c r="F445" s="96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</row>
    <row r="446" customFormat="false" ht="15.75" hidden="false" customHeight="false" outlineLevel="0" collapsed="false">
      <c r="A446" s="95"/>
      <c r="B446" s="95"/>
      <c r="C446" s="95"/>
      <c r="D446" s="89"/>
      <c r="E446" s="96"/>
      <c r="F446" s="96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</row>
    <row r="447" customFormat="false" ht="15.75" hidden="false" customHeight="false" outlineLevel="0" collapsed="false">
      <c r="A447" s="95"/>
      <c r="B447" s="95"/>
      <c r="C447" s="95"/>
      <c r="D447" s="89"/>
      <c r="E447" s="96"/>
      <c r="F447" s="96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</row>
    <row r="448" customFormat="false" ht="15.75" hidden="false" customHeight="false" outlineLevel="0" collapsed="false">
      <c r="A448" s="95"/>
      <c r="B448" s="95"/>
      <c r="C448" s="95"/>
      <c r="D448" s="89"/>
      <c r="E448" s="96"/>
      <c r="F448" s="96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</row>
    <row r="449" customFormat="false" ht="15.75" hidden="false" customHeight="false" outlineLevel="0" collapsed="false">
      <c r="A449" s="95"/>
      <c r="B449" s="95"/>
      <c r="C449" s="95"/>
      <c r="D449" s="89"/>
      <c r="E449" s="96"/>
      <c r="F449" s="96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</row>
    <row r="450" customFormat="false" ht="15.75" hidden="false" customHeight="false" outlineLevel="0" collapsed="false">
      <c r="A450" s="95"/>
      <c r="B450" s="95"/>
      <c r="C450" s="95"/>
      <c r="D450" s="89"/>
      <c r="E450" s="96"/>
      <c r="F450" s="96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</row>
    <row r="451" customFormat="false" ht="15.75" hidden="false" customHeight="false" outlineLevel="0" collapsed="false">
      <c r="A451" s="95"/>
      <c r="B451" s="95"/>
      <c r="C451" s="95"/>
      <c r="D451" s="89"/>
      <c r="E451" s="96"/>
      <c r="F451" s="96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</row>
    <row r="452" customFormat="false" ht="15.75" hidden="false" customHeight="false" outlineLevel="0" collapsed="false">
      <c r="A452" s="95"/>
      <c r="B452" s="95"/>
      <c r="C452" s="95"/>
      <c r="D452" s="89"/>
      <c r="E452" s="96"/>
      <c r="F452" s="96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</row>
    <row r="453" customFormat="false" ht="15.75" hidden="false" customHeight="false" outlineLevel="0" collapsed="false">
      <c r="A453" s="95"/>
      <c r="B453" s="95"/>
      <c r="C453" s="95"/>
      <c r="D453" s="89"/>
      <c r="E453" s="96"/>
      <c r="F453" s="96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</row>
    <row r="454" customFormat="false" ht="15.75" hidden="false" customHeight="false" outlineLevel="0" collapsed="false">
      <c r="A454" s="95"/>
      <c r="B454" s="95"/>
      <c r="C454" s="95"/>
      <c r="D454" s="89"/>
      <c r="E454" s="96"/>
      <c r="F454" s="96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</row>
    <row r="455" customFormat="false" ht="15.75" hidden="false" customHeight="false" outlineLevel="0" collapsed="false">
      <c r="A455" s="95"/>
      <c r="B455" s="95"/>
      <c r="C455" s="95"/>
      <c r="D455" s="89"/>
      <c r="E455" s="96"/>
      <c r="F455" s="96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</row>
    <row r="456" customFormat="false" ht="15.75" hidden="false" customHeight="false" outlineLevel="0" collapsed="false">
      <c r="A456" s="95"/>
      <c r="B456" s="95"/>
      <c r="C456" s="95"/>
      <c r="D456" s="89"/>
      <c r="E456" s="96"/>
      <c r="F456" s="96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</row>
    <row r="457" customFormat="false" ht="15.75" hidden="false" customHeight="false" outlineLevel="0" collapsed="false">
      <c r="A457" s="95"/>
      <c r="B457" s="95"/>
      <c r="C457" s="95"/>
      <c r="D457" s="89"/>
      <c r="E457" s="96"/>
      <c r="F457" s="96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</row>
    <row r="458" customFormat="false" ht="15.75" hidden="false" customHeight="false" outlineLevel="0" collapsed="false">
      <c r="A458" s="95"/>
      <c r="B458" s="95"/>
      <c r="C458" s="95"/>
      <c r="D458" s="89"/>
      <c r="E458" s="96"/>
      <c r="F458" s="96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</row>
    <row r="459" customFormat="false" ht="15.75" hidden="false" customHeight="false" outlineLevel="0" collapsed="false">
      <c r="A459" s="95"/>
      <c r="B459" s="95"/>
      <c r="C459" s="95"/>
      <c r="D459" s="89"/>
      <c r="E459" s="96"/>
      <c r="F459" s="96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</row>
    <row r="460" customFormat="false" ht="15.75" hidden="false" customHeight="false" outlineLevel="0" collapsed="false">
      <c r="A460" s="95"/>
      <c r="B460" s="95"/>
      <c r="C460" s="95"/>
      <c r="D460" s="89"/>
      <c r="E460" s="96"/>
      <c r="F460" s="96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</row>
    <row r="461" customFormat="false" ht="15.75" hidden="false" customHeight="false" outlineLevel="0" collapsed="false">
      <c r="A461" s="95"/>
      <c r="B461" s="95"/>
      <c r="C461" s="95"/>
      <c r="D461" s="89"/>
      <c r="E461" s="96"/>
      <c r="F461" s="96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</row>
    <row r="462" customFormat="false" ht="15.75" hidden="false" customHeight="false" outlineLevel="0" collapsed="false">
      <c r="A462" s="95"/>
      <c r="B462" s="95"/>
      <c r="C462" s="95"/>
      <c r="D462" s="89"/>
      <c r="E462" s="96"/>
      <c r="F462" s="96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</row>
    <row r="463" customFormat="false" ht="15.75" hidden="false" customHeight="false" outlineLevel="0" collapsed="false">
      <c r="A463" s="95"/>
      <c r="B463" s="95"/>
      <c r="C463" s="95"/>
      <c r="D463" s="89"/>
      <c r="E463" s="96"/>
      <c r="F463" s="96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</row>
    <row r="464" customFormat="false" ht="15.75" hidden="false" customHeight="false" outlineLevel="0" collapsed="false">
      <c r="A464" s="95"/>
      <c r="B464" s="95"/>
      <c r="C464" s="95"/>
      <c r="D464" s="89"/>
      <c r="E464" s="96"/>
      <c r="F464" s="96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</row>
    <row r="465" customFormat="false" ht="15.75" hidden="false" customHeight="false" outlineLevel="0" collapsed="false">
      <c r="A465" s="95"/>
      <c r="B465" s="95"/>
      <c r="C465" s="95"/>
      <c r="D465" s="89"/>
      <c r="E465" s="96"/>
      <c r="F465" s="96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</row>
    <row r="466" customFormat="false" ht="15.75" hidden="false" customHeight="false" outlineLevel="0" collapsed="false">
      <c r="A466" s="95"/>
      <c r="B466" s="95"/>
      <c r="C466" s="95"/>
      <c r="D466" s="89"/>
      <c r="E466" s="96"/>
      <c r="F466" s="96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</row>
    <row r="467" customFormat="false" ht="15.75" hidden="false" customHeight="false" outlineLevel="0" collapsed="false">
      <c r="A467" s="95"/>
      <c r="B467" s="95"/>
      <c r="C467" s="95"/>
      <c r="D467" s="89"/>
      <c r="E467" s="96"/>
      <c r="F467" s="96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</row>
    <row r="468" customFormat="false" ht="15.75" hidden="false" customHeight="false" outlineLevel="0" collapsed="false">
      <c r="A468" s="95"/>
      <c r="B468" s="95"/>
      <c r="C468" s="95"/>
      <c r="D468" s="89"/>
      <c r="E468" s="96"/>
      <c r="F468" s="96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</row>
    <row r="469" customFormat="false" ht="15.75" hidden="false" customHeight="false" outlineLevel="0" collapsed="false">
      <c r="A469" s="95"/>
      <c r="B469" s="95"/>
      <c r="C469" s="95"/>
      <c r="D469" s="89"/>
      <c r="E469" s="96"/>
      <c r="F469" s="96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</row>
    <row r="470" customFormat="false" ht="15.75" hidden="false" customHeight="false" outlineLevel="0" collapsed="false">
      <c r="A470" s="95"/>
      <c r="B470" s="95"/>
      <c r="C470" s="95"/>
      <c r="D470" s="89"/>
      <c r="E470" s="96"/>
      <c r="F470" s="96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</row>
    <row r="471" customFormat="false" ht="15.75" hidden="false" customHeight="false" outlineLevel="0" collapsed="false">
      <c r="A471" s="95"/>
      <c r="B471" s="95"/>
      <c r="C471" s="95"/>
      <c r="D471" s="89"/>
      <c r="E471" s="96"/>
      <c r="F471" s="96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</row>
    <row r="472" customFormat="false" ht="15.75" hidden="false" customHeight="false" outlineLevel="0" collapsed="false">
      <c r="A472" s="95"/>
      <c r="B472" s="95"/>
      <c r="C472" s="95"/>
      <c r="D472" s="89"/>
      <c r="E472" s="96"/>
      <c r="F472" s="96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</row>
    <row r="473" customFormat="false" ht="15.75" hidden="false" customHeight="false" outlineLevel="0" collapsed="false">
      <c r="A473" s="95"/>
      <c r="B473" s="95"/>
      <c r="C473" s="95"/>
      <c r="D473" s="89"/>
      <c r="E473" s="96"/>
      <c r="F473" s="96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</row>
    <row r="474" customFormat="false" ht="15.75" hidden="false" customHeight="false" outlineLevel="0" collapsed="false">
      <c r="A474" s="95"/>
      <c r="B474" s="95"/>
      <c r="C474" s="95"/>
      <c r="D474" s="89"/>
      <c r="E474" s="96"/>
      <c r="F474" s="96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</row>
    <row r="475" customFormat="false" ht="15.75" hidden="false" customHeight="false" outlineLevel="0" collapsed="false">
      <c r="A475" s="95"/>
      <c r="B475" s="95"/>
      <c r="C475" s="95"/>
      <c r="D475" s="89"/>
      <c r="E475" s="96"/>
      <c r="F475" s="96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</row>
    <row r="476" customFormat="false" ht="15.75" hidden="false" customHeight="false" outlineLevel="0" collapsed="false">
      <c r="A476" s="95"/>
      <c r="B476" s="95"/>
      <c r="C476" s="95"/>
      <c r="D476" s="89"/>
      <c r="E476" s="96"/>
      <c r="F476" s="96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</row>
    <row r="477" customFormat="false" ht="15.75" hidden="false" customHeight="false" outlineLevel="0" collapsed="false">
      <c r="A477" s="95"/>
      <c r="B477" s="95"/>
      <c r="C477" s="95"/>
      <c r="D477" s="89"/>
      <c r="E477" s="96"/>
      <c r="F477" s="96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</row>
    <row r="478" customFormat="false" ht="15.75" hidden="false" customHeight="false" outlineLevel="0" collapsed="false">
      <c r="A478" s="95"/>
      <c r="B478" s="95"/>
      <c r="C478" s="95"/>
      <c r="D478" s="89"/>
      <c r="E478" s="96"/>
      <c r="F478" s="96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</row>
    <row r="479" customFormat="false" ht="15.75" hidden="false" customHeight="false" outlineLevel="0" collapsed="false">
      <c r="A479" s="95"/>
      <c r="B479" s="95"/>
      <c r="C479" s="95"/>
      <c r="D479" s="89"/>
      <c r="E479" s="96"/>
      <c r="F479" s="96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</row>
    <row r="480" customFormat="false" ht="15.75" hidden="false" customHeight="false" outlineLevel="0" collapsed="false">
      <c r="A480" s="95"/>
      <c r="B480" s="95"/>
      <c r="C480" s="95"/>
      <c r="D480" s="89"/>
      <c r="E480" s="96"/>
      <c r="F480" s="96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</row>
    <row r="481" customFormat="false" ht="15.75" hidden="false" customHeight="false" outlineLevel="0" collapsed="false">
      <c r="A481" s="95"/>
      <c r="B481" s="95"/>
      <c r="C481" s="95"/>
      <c r="D481" s="89"/>
      <c r="E481" s="96"/>
      <c r="F481" s="96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</row>
    <row r="482" customFormat="false" ht="15.75" hidden="false" customHeight="false" outlineLevel="0" collapsed="false">
      <c r="A482" s="95"/>
      <c r="B482" s="95"/>
      <c r="C482" s="95"/>
      <c r="D482" s="89"/>
      <c r="E482" s="96"/>
      <c r="F482" s="96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</row>
    <row r="483" customFormat="false" ht="15.75" hidden="false" customHeight="false" outlineLevel="0" collapsed="false">
      <c r="A483" s="95"/>
      <c r="B483" s="95"/>
      <c r="C483" s="95"/>
      <c r="D483" s="89"/>
      <c r="E483" s="96"/>
      <c r="F483" s="96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</row>
    <row r="484" customFormat="false" ht="15.75" hidden="false" customHeight="false" outlineLevel="0" collapsed="false">
      <c r="A484" s="95"/>
      <c r="B484" s="95"/>
      <c r="C484" s="95"/>
      <c r="D484" s="89"/>
      <c r="E484" s="96"/>
      <c r="F484" s="96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</row>
    <row r="485" customFormat="false" ht="15.75" hidden="false" customHeight="false" outlineLevel="0" collapsed="false">
      <c r="A485" s="95"/>
      <c r="B485" s="95"/>
      <c r="C485" s="95"/>
      <c r="D485" s="89"/>
      <c r="E485" s="96"/>
      <c r="F485" s="96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</row>
    <row r="486" customFormat="false" ht="15.75" hidden="false" customHeight="false" outlineLevel="0" collapsed="false">
      <c r="A486" s="95"/>
      <c r="B486" s="95"/>
      <c r="C486" s="95"/>
      <c r="D486" s="89"/>
      <c r="E486" s="96"/>
      <c r="F486" s="96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</row>
    <row r="487" customFormat="false" ht="15.75" hidden="false" customHeight="false" outlineLevel="0" collapsed="false">
      <c r="A487" s="95"/>
      <c r="B487" s="95"/>
      <c r="C487" s="95"/>
      <c r="D487" s="89"/>
      <c r="E487" s="96"/>
      <c r="F487" s="96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</row>
    <row r="488" customFormat="false" ht="15.75" hidden="false" customHeight="false" outlineLevel="0" collapsed="false">
      <c r="A488" s="95"/>
      <c r="B488" s="95"/>
      <c r="C488" s="95"/>
      <c r="D488" s="89"/>
      <c r="E488" s="96"/>
      <c r="F488" s="96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</row>
    <row r="489" customFormat="false" ht="15.75" hidden="false" customHeight="false" outlineLevel="0" collapsed="false">
      <c r="A489" s="95"/>
      <c r="B489" s="95"/>
      <c r="C489" s="95"/>
      <c r="D489" s="89"/>
      <c r="E489" s="96"/>
      <c r="F489" s="96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</row>
    <row r="490" customFormat="false" ht="15.75" hidden="false" customHeight="false" outlineLevel="0" collapsed="false">
      <c r="A490" s="95"/>
      <c r="B490" s="95"/>
      <c r="C490" s="95"/>
      <c r="D490" s="89"/>
      <c r="E490" s="96"/>
      <c r="F490" s="96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</row>
    <row r="491" customFormat="false" ht="15.75" hidden="false" customHeight="false" outlineLevel="0" collapsed="false">
      <c r="A491" s="95"/>
      <c r="B491" s="95"/>
      <c r="C491" s="95"/>
      <c r="D491" s="89"/>
      <c r="E491" s="96"/>
      <c r="F491" s="96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</row>
    <row r="492" customFormat="false" ht="15.75" hidden="false" customHeight="false" outlineLevel="0" collapsed="false">
      <c r="A492" s="95"/>
      <c r="B492" s="95"/>
      <c r="C492" s="95"/>
      <c r="D492" s="89"/>
      <c r="E492" s="96"/>
      <c r="F492" s="96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</row>
    <row r="493" customFormat="false" ht="15.75" hidden="false" customHeight="false" outlineLevel="0" collapsed="false">
      <c r="A493" s="95"/>
      <c r="B493" s="95"/>
      <c r="C493" s="95"/>
      <c r="D493" s="89"/>
      <c r="E493" s="96"/>
      <c r="F493" s="96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</row>
    <row r="494" customFormat="false" ht="15.75" hidden="false" customHeight="false" outlineLevel="0" collapsed="false">
      <c r="A494" s="95"/>
      <c r="B494" s="95"/>
      <c r="C494" s="95"/>
      <c r="D494" s="89"/>
      <c r="E494" s="96"/>
      <c r="F494" s="96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</row>
    <row r="495" customFormat="false" ht="15.75" hidden="false" customHeight="false" outlineLevel="0" collapsed="false">
      <c r="A495" s="95"/>
      <c r="B495" s="95"/>
      <c r="C495" s="95"/>
      <c r="D495" s="89"/>
      <c r="E495" s="96"/>
      <c r="F495" s="96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</row>
    <row r="496" customFormat="false" ht="15.75" hidden="false" customHeight="false" outlineLevel="0" collapsed="false">
      <c r="A496" s="95"/>
      <c r="B496" s="95"/>
      <c r="C496" s="95"/>
      <c r="D496" s="89"/>
      <c r="E496" s="96"/>
      <c r="F496" s="96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</row>
    <row r="497" customFormat="false" ht="15.75" hidden="false" customHeight="false" outlineLevel="0" collapsed="false">
      <c r="A497" s="95"/>
      <c r="B497" s="95"/>
      <c r="C497" s="95"/>
      <c r="D497" s="89"/>
      <c r="E497" s="96"/>
      <c r="F497" s="96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</row>
    <row r="498" customFormat="false" ht="15.75" hidden="false" customHeight="false" outlineLevel="0" collapsed="false">
      <c r="A498" s="95"/>
      <c r="B498" s="95"/>
      <c r="C498" s="95"/>
      <c r="D498" s="89"/>
      <c r="E498" s="96"/>
      <c r="F498" s="96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</row>
    <row r="499" customFormat="false" ht="15.75" hidden="false" customHeight="false" outlineLevel="0" collapsed="false">
      <c r="A499" s="95"/>
      <c r="B499" s="95"/>
      <c r="C499" s="95"/>
      <c r="D499" s="89"/>
      <c r="E499" s="96"/>
      <c r="F499" s="96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</row>
    <row r="500" customFormat="false" ht="15.75" hidden="false" customHeight="false" outlineLevel="0" collapsed="false">
      <c r="A500" s="95"/>
      <c r="B500" s="95"/>
      <c r="C500" s="95"/>
      <c r="D500" s="89"/>
      <c r="E500" s="96"/>
      <c r="F500" s="96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</row>
    <row r="501" customFormat="false" ht="15.75" hidden="false" customHeight="false" outlineLevel="0" collapsed="false">
      <c r="A501" s="95"/>
      <c r="B501" s="95"/>
      <c r="C501" s="95"/>
      <c r="D501" s="89"/>
      <c r="E501" s="96"/>
      <c r="F501" s="96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</row>
    <row r="502" customFormat="false" ht="15.75" hidden="false" customHeight="false" outlineLevel="0" collapsed="false">
      <c r="A502" s="95"/>
      <c r="B502" s="95"/>
      <c r="C502" s="95"/>
      <c r="D502" s="89"/>
      <c r="E502" s="96"/>
      <c r="F502" s="96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</row>
    <row r="503" customFormat="false" ht="15.75" hidden="false" customHeight="false" outlineLevel="0" collapsed="false">
      <c r="A503" s="95"/>
      <c r="B503" s="95"/>
      <c r="C503" s="95"/>
      <c r="D503" s="89"/>
      <c r="E503" s="96"/>
      <c r="F503" s="96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</row>
    <row r="504" customFormat="false" ht="15.75" hidden="false" customHeight="false" outlineLevel="0" collapsed="false">
      <c r="A504" s="95"/>
      <c r="B504" s="95"/>
      <c r="C504" s="95"/>
      <c r="D504" s="89"/>
      <c r="E504" s="96"/>
      <c r="F504" s="96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</row>
    <row r="505" customFormat="false" ht="15.75" hidden="false" customHeight="false" outlineLevel="0" collapsed="false">
      <c r="A505" s="95"/>
      <c r="B505" s="95"/>
      <c r="C505" s="95"/>
      <c r="D505" s="89"/>
      <c r="E505" s="96"/>
      <c r="F505" s="96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</row>
    <row r="506" customFormat="false" ht="15.75" hidden="false" customHeight="false" outlineLevel="0" collapsed="false">
      <c r="A506" s="95"/>
      <c r="B506" s="95"/>
      <c r="C506" s="95"/>
      <c r="D506" s="89"/>
      <c r="E506" s="96"/>
      <c r="F506" s="96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</row>
    <row r="507" customFormat="false" ht="15.75" hidden="false" customHeight="false" outlineLevel="0" collapsed="false">
      <c r="A507" s="95"/>
      <c r="B507" s="95"/>
      <c r="C507" s="95"/>
      <c r="D507" s="89"/>
      <c r="E507" s="96"/>
      <c r="F507" s="96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</row>
    <row r="508" customFormat="false" ht="15.75" hidden="false" customHeight="false" outlineLevel="0" collapsed="false">
      <c r="A508" s="95"/>
      <c r="B508" s="95"/>
      <c r="C508" s="95"/>
      <c r="D508" s="89"/>
      <c r="E508" s="96"/>
      <c r="F508" s="96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</row>
    <row r="509" customFormat="false" ht="15.75" hidden="false" customHeight="false" outlineLevel="0" collapsed="false">
      <c r="A509" s="95"/>
      <c r="B509" s="95"/>
      <c r="C509" s="95"/>
      <c r="D509" s="89"/>
      <c r="E509" s="96"/>
      <c r="F509" s="96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</row>
    <row r="510" customFormat="false" ht="15.75" hidden="false" customHeight="false" outlineLevel="0" collapsed="false">
      <c r="A510" s="95"/>
      <c r="B510" s="95"/>
      <c r="C510" s="95"/>
      <c r="D510" s="89"/>
      <c r="E510" s="96"/>
      <c r="F510" s="96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</row>
    <row r="511" customFormat="false" ht="15.75" hidden="false" customHeight="false" outlineLevel="0" collapsed="false">
      <c r="A511" s="95"/>
      <c r="B511" s="95"/>
      <c r="C511" s="95"/>
      <c r="D511" s="89"/>
      <c r="E511" s="96"/>
      <c r="F511" s="96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</row>
    <row r="512" customFormat="false" ht="15.75" hidden="false" customHeight="false" outlineLevel="0" collapsed="false">
      <c r="A512" s="95"/>
      <c r="B512" s="95"/>
      <c r="C512" s="95"/>
      <c r="D512" s="89"/>
      <c r="E512" s="96"/>
      <c r="F512" s="96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</row>
    <row r="513" customFormat="false" ht="15.75" hidden="false" customHeight="false" outlineLevel="0" collapsed="false">
      <c r="A513" s="95"/>
      <c r="B513" s="95"/>
      <c r="C513" s="95"/>
      <c r="D513" s="89"/>
      <c r="E513" s="96"/>
      <c r="F513" s="96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</row>
    <row r="514" customFormat="false" ht="15.75" hidden="false" customHeight="false" outlineLevel="0" collapsed="false">
      <c r="A514" s="95"/>
      <c r="B514" s="95"/>
      <c r="C514" s="95"/>
      <c r="D514" s="89"/>
      <c r="E514" s="96"/>
      <c r="F514" s="96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</row>
    <row r="515" customFormat="false" ht="15.75" hidden="false" customHeight="false" outlineLevel="0" collapsed="false">
      <c r="A515" s="95"/>
      <c r="B515" s="95"/>
      <c r="C515" s="95"/>
      <c r="D515" s="89"/>
      <c r="E515" s="96"/>
      <c r="F515" s="96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</row>
    <row r="516" customFormat="false" ht="15.75" hidden="false" customHeight="false" outlineLevel="0" collapsed="false">
      <c r="A516" s="95"/>
      <c r="B516" s="95"/>
      <c r="C516" s="95"/>
      <c r="D516" s="89"/>
      <c r="E516" s="96"/>
      <c r="F516" s="96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</row>
    <row r="517" customFormat="false" ht="15.75" hidden="false" customHeight="false" outlineLevel="0" collapsed="false">
      <c r="A517" s="95"/>
      <c r="B517" s="95"/>
      <c r="C517" s="95"/>
      <c r="D517" s="89"/>
      <c r="E517" s="96"/>
      <c r="F517" s="96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</row>
    <row r="518" customFormat="false" ht="15.75" hidden="false" customHeight="false" outlineLevel="0" collapsed="false">
      <c r="A518" s="95"/>
      <c r="B518" s="95"/>
      <c r="C518" s="95"/>
      <c r="D518" s="89"/>
      <c r="E518" s="96"/>
      <c r="F518" s="96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</row>
    <row r="519" customFormat="false" ht="15.75" hidden="false" customHeight="false" outlineLevel="0" collapsed="false">
      <c r="A519" s="95"/>
      <c r="B519" s="95"/>
      <c r="C519" s="95"/>
      <c r="D519" s="89"/>
      <c r="E519" s="96"/>
      <c r="F519" s="96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</row>
    <row r="520" customFormat="false" ht="15.75" hidden="false" customHeight="false" outlineLevel="0" collapsed="false">
      <c r="A520" s="95"/>
      <c r="B520" s="95"/>
      <c r="C520" s="95"/>
      <c r="D520" s="89"/>
      <c r="E520" s="96"/>
      <c r="F520" s="96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</row>
    <row r="521" customFormat="false" ht="15.75" hidden="false" customHeight="false" outlineLevel="0" collapsed="false">
      <c r="A521" s="95"/>
      <c r="B521" s="95"/>
      <c r="C521" s="95"/>
      <c r="D521" s="89"/>
      <c r="E521" s="96"/>
      <c r="F521" s="96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</row>
    <row r="522" customFormat="false" ht="15.75" hidden="false" customHeight="false" outlineLevel="0" collapsed="false">
      <c r="A522" s="95"/>
      <c r="B522" s="95"/>
      <c r="C522" s="95"/>
      <c r="D522" s="89"/>
      <c r="E522" s="96"/>
      <c r="F522" s="96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</row>
    <row r="523" customFormat="false" ht="15.75" hidden="false" customHeight="false" outlineLevel="0" collapsed="false">
      <c r="A523" s="95"/>
      <c r="B523" s="95"/>
      <c r="C523" s="95"/>
      <c r="D523" s="89"/>
      <c r="E523" s="96"/>
      <c r="F523" s="96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</row>
    <row r="524" customFormat="false" ht="15.75" hidden="false" customHeight="false" outlineLevel="0" collapsed="false">
      <c r="A524" s="95"/>
      <c r="B524" s="95"/>
      <c r="C524" s="95"/>
      <c r="D524" s="89"/>
      <c r="E524" s="96"/>
      <c r="F524" s="96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</row>
    <row r="525" customFormat="false" ht="15.75" hidden="false" customHeight="false" outlineLevel="0" collapsed="false">
      <c r="A525" s="95"/>
      <c r="B525" s="95"/>
      <c r="C525" s="95"/>
      <c r="D525" s="89"/>
      <c r="E525" s="96"/>
      <c r="F525" s="96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</row>
    <row r="526" customFormat="false" ht="15.75" hidden="false" customHeight="false" outlineLevel="0" collapsed="false">
      <c r="A526" s="95"/>
      <c r="B526" s="95"/>
      <c r="C526" s="95"/>
      <c r="D526" s="89"/>
      <c r="E526" s="96"/>
      <c r="F526" s="96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</row>
    <row r="527" customFormat="false" ht="15.75" hidden="false" customHeight="false" outlineLevel="0" collapsed="false">
      <c r="A527" s="95"/>
      <c r="B527" s="95"/>
      <c r="C527" s="95"/>
      <c r="D527" s="89"/>
      <c r="E527" s="96"/>
      <c r="F527" s="96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</row>
    <row r="528" customFormat="false" ht="15.75" hidden="false" customHeight="false" outlineLevel="0" collapsed="false">
      <c r="A528" s="95"/>
      <c r="B528" s="95"/>
      <c r="C528" s="95"/>
      <c r="D528" s="89"/>
      <c r="E528" s="96"/>
      <c r="F528" s="96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</row>
    <row r="529" customFormat="false" ht="15.75" hidden="false" customHeight="false" outlineLevel="0" collapsed="false">
      <c r="A529" s="95"/>
      <c r="B529" s="95"/>
      <c r="C529" s="95"/>
      <c r="D529" s="89"/>
      <c r="E529" s="96"/>
      <c r="F529" s="96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</row>
    <row r="530" customFormat="false" ht="15.75" hidden="false" customHeight="false" outlineLevel="0" collapsed="false">
      <c r="A530" s="95"/>
      <c r="B530" s="95"/>
      <c r="C530" s="95"/>
      <c r="D530" s="89"/>
      <c r="E530" s="96"/>
      <c r="F530" s="96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</row>
    <row r="531" customFormat="false" ht="15.75" hidden="false" customHeight="false" outlineLevel="0" collapsed="false">
      <c r="A531" s="95"/>
      <c r="B531" s="95"/>
      <c r="C531" s="95"/>
      <c r="D531" s="89"/>
      <c r="E531" s="96"/>
      <c r="F531" s="96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</row>
    <row r="532" customFormat="false" ht="15.75" hidden="false" customHeight="false" outlineLevel="0" collapsed="false">
      <c r="A532" s="95"/>
      <c r="B532" s="95"/>
      <c r="C532" s="95"/>
      <c r="D532" s="89"/>
      <c r="E532" s="96"/>
      <c r="F532" s="96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</row>
    <row r="533" customFormat="false" ht="15.75" hidden="false" customHeight="false" outlineLevel="0" collapsed="false">
      <c r="A533" s="95"/>
      <c r="B533" s="95"/>
      <c r="C533" s="95"/>
      <c r="D533" s="89"/>
      <c r="E533" s="96"/>
      <c r="F533" s="96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</row>
    <row r="534" customFormat="false" ht="15.75" hidden="false" customHeight="false" outlineLevel="0" collapsed="false">
      <c r="A534" s="95"/>
      <c r="B534" s="95"/>
      <c r="C534" s="95"/>
      <c r="D534" s="89"/>
      <c r="E534" s="96"/>
      <c r="F534" s="96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</row>
    <row r="535" customFormat="false" ht="15.75" hidden="false" customHeight="false" outlineLevel="0" collapsed="false">
      <c r="A535" s="95"/>
      <c r="B535" s="95"/>
      <c r="C535" s="95"/>
      <c r="D535" s="89"/>
      <c r="E535" s="96"/>
      <c r="F535" s="96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</row>
    <row r="536" customFormat="false" ht="15.75" hidden="false" customHeight="false" outlineLevel="0" collapsed="false">
      <c r="A536" s="95"/>
      <c r="B536" s="95"/>
      <c r="C536" s="95"/>
      <c r="D536" s="89"/>
      <c r="E536" s="96"/>
      <c r="F536" s="96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</row>
    <row r="537" customFormat="false" ht="15.75" hidden="false" customHeight="false" outlineLevel="0" collapsed="false">
      <c r="A537" s="95"/>
      <c r="B537" s="95"/>
      <c r="C537" s="95"/>
      <c r="D537" s="89"/>
      <c r="E537" s="96"/>
      <c r="F537" s="96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</row>
    <row r="538" customFormat="false" ht="15.75" hidden="false" customHeight="false" outlineLevel="0" collapsed="false">
      <c r="A538" s="95"/>
      <c r="B538" s="95"/>
      <c r="C538" s="95"/>
      <c r="D538" s="89"/>
      <c r="E538" s="96"/>
      <c r="F538" s="96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</row>
    <row r="539" customFormat="false" ht="15.75" hidden="false" customHeight="false" outlineLevel="0" collapsed="false">
      <c r="A539" s="95"/>
      <c r="B539" s="95"/>
      <c r="C539" s="95"/>
      <c r="D539" s="89"/>
      <c r="E539" s="96"/>
      <c r="F539" s="96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</row>
    <row r="540" customFormat="false" ht="15.75" hidden="false" customHeight="false" outlineLevel="0" collapsed="false">
      <c r="A540" s="95"/>
      <c r="B540" s="95"/>
      <c r="C540" s="95"/>
      <c r="D540" s="89"/>
      <c r="E540" s="96"/>
      <c r="F540" s="96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</row>
    <row r="541" customFormat="false" ht="15.75" hidden="false" customHeight="false" outlineLevel="0" collapsed="false">
      <c r="A541" s="95"/>
      <c r="B541" s="95"/>
      <c r="C541" s="95"/>
      <c r="D541" s="89"/>
      <c r="E541" s="96"/>
      <c r="F541" s="96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</row>
    <row r="542" customFormat="false" ht="15.75" hidden="false" customHeight="false" outlineLevel="0" collapsed="false">
      <c r="A542" s="95"/>
      <c r="B542" s="95"/>
      <c r="C542" s="95"/>
      <c r="D542" s="89"/>
      <c r="E542" s="96"/>
      <c r="F542" s="96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</row>
    <row r="543" customFormat="false" ht="15.75" hidden="false" customHeight="false" outlineLevel="0" collapsed="false">
      <c r="A543" s="95"/>
      <c r="B543" s="95"/>
      <c r="C543" s="95"/>
      <c r="D543" s="89"/>
      <c r="E543" s="96"/>
      <c r="F543" s="96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</row>
    <row r="544" customFormat="false" ht="15.75" hidden="false" customHeight="false" outlineLevel="0" collapsed="false">
      <c r="A544" s="95"/>
      <c r="B544" s="95"/>
      <c r="C544" s="95"/>
      <c r="D544" s="89"/>
      <c r="E544" s="96"/>
      <c r="F544" s="96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</row>
    <row r="545" customFormat="false" ht="15.75" hidden="false" customHeight="false" outlineLevel="0" collapsed="false">
      <c r="A545" s="95"/>
      <c r="B545" s="95"/>
      <c r="C545" s="95"/>
      <c r="D545" s="89"/>
      <c r="E545" s="96"/>
      <c r="F545" s="96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</row>
    <row r="546" customFormat="false" ht="15.75" hidden="false" customHeight="false" outlineLevel="0" collapsed="false">
      <c r="A546" s="95"/>
      <c r="B546" s="95"/>
      <c r="C546" s="95"/>
      <c r="D546" s="89"/>
      <c r="E546" s="96"/>
      <c r="F546" s="96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</row>
    <row r="547" customFormat="false" ht="15.75" hidden="false" customHeight="false" outlineLevel="0" collapsed="false">
      <c r="A547" s="95"/>
      <c r="B547" s="95"/>
      <c r="C547" s="95"/>
      <c r="D547" s="89"/>
      <c r="E547" s="96"/>
      <c r="F547" s="96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</row>
    <row r="548" customFormat="false" ht="15.75" hidden="false" customHeight="false" outlineLevel="0" collapsed="false">
      <c r="A548" s="95"/>
      <c r="B548" s="95"/>
      <c r="C548" s="95"/>
      <c r="D548" s="89"/>
      <c r="E548" s="96"/>
      <c r="F548" s="96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</row>
    <row r="549" customFormat="false" ht="15.75" hidden="false" customHeight="false" outlineLevel="0" collapsed="false">
      <c r="A549" s="95"/>
      <c r="B549" s="95"/>
      <c r="C549" s="95"/>
      <c r="D549" s="89"/>
      <c r="E549" s="96"/>
      <c r="F549" s="96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</row>
    <row r="550" customFormat="false" ht="15.75" hidden="false" customHeight="false" outlineLevel="0" collapsed="false">
      <c r="A550" s="95"/>
      <c r="B550" s="95"/>
      <c r="C550" s="95"/>
      <c r="D550" s="89"/>
      <c r="E550" s="96"/>
      <c r="F550" s="96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</row>
    <row r="551" customFormat="false" ht="15.75" hidden="false" customHeight="false" outlineLevel="0" collapsed="false">
      <c r="A551" s="95"/>
      <c r="B551" s="95"/>
      <c r="C551" s="95"/>
      <c r="D551" s="89"/>
      <c r="E551" s="96"/>
      <c r="F551" s="96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</row>
    <row r="552" customFormat="false" ht="15.75" hidden="false" customHeight="false" outlineLevel="0" collapsed="false">
      <c r="A552" s="95"/>
      <c r="B552" s="95"/>
      <c r="C552" s="95"/>
      <c r="D552" s="89"/>
      <c r="E552" s="96"/>
      <c r="F552" s="96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</row>
    <row r="553" customFormat="false" ht="15.75" hidden="false" customHeight="false" outlineLevel="0" collapsed="false">
      <c r="A553" s="95"/>
      <c r="B553" s="95"/>
      <c r="C553" s="95"/>
      <c r="D553" s="89"/>
      <c r="E553" s="96"/>
      <c r="F553" s="96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</row>
    <row r="554" customFormat="false" ht="15.75" hidden="false" customHeight="false" outlineLevel="0" collapsed="false">
      <c r="A554" s="95"/>
      <c r="B554" s="95"/>
      <c r="C554" s="95"/>
      <c r="D554" s="89"/>
      <c r="E554" s="96"/>
      <c r="F554" s="96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</row>
    <row r="555" customFormat="false" ht="15.75" hidden="false" customHeight="false" outlineLevel="0" collapsed="false">
      <c r="A555" s="95"/>
      <c r="B555" s="95"/>
      <c r="C555" s="95"/>
      <c r="D555" s="89"/>
      <c r="E555" s="96"/>
      <c r="F555" s="96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</row>
    <row r="556" customFormat="false" ht="15.75" hidden="false" customHeight="false" outlineLevel="0" collapsed="false">
      <c r="A556" s="95"/>
      <c r="B556" s="95"/>
      <c r="C556" s="95"/>
      <c r="D556" s="89"/>
      <c r="E556" s="96"/>
      <c r="F556" s="96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</row>
    <row r="557" customFormat="false" ht="15.75" hidden="false" customHeight="false" outlineLevel="0" collapsed="false">
      <c r="A557" s="95"/>
      <c r="B557" s="95"/>
      <c r="C557" s="95"/>
      <c r="D557" s="89"/>
      <c r="E557" s="96"/>
      <c r="F557" s="96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</row>
    <row r="558" customFormat="false" ht="15.75" hidden="false" customHeight="false" outlineLevel="0" collapsed="false">
      <c r="A558" s="95"/>
      <c r="B558" s="95"/>
      <c r="C558" s="95"/>
      <c r="D558" s="89"/>
      <c r="E558" s="96"/>
      <c r="F558" s="96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</row>
    <row r="559" customFormat="false" ht="15.75" hidden="false" customHeight="false" outlineLevel="0" collapsed="false">
      <c r="A559" s="95"/>
      <c r="B559" s="95"/>
      <c r="C559" s="95"/>
      <c r="D559" s="89"/>
      <c r="E559" s="96"/>
      <c r="F559" s="96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</row>
    <row r="560" customFormat="false" ht="15.75" hidden="false" customHeight="false" outlineLevel="0" collapsed="false">
      <c r="A560" s="95"/>
      <c r="B560" s="95"/>
      <c r="C560" s="95"/>
      <c r="D560" s="89"/>
      <c r="E560" s="96"/>
      <c r="F560" s="96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</row>
    <row r="561" customFormat="false" ht="15.75" hidden="false" customHeight="false" outlineLevel="0" collapsed="false">
      <c r="A561" s="95"/>
      <c r="B561" s="95"/>
      <c r="C561" s="95"/>
      <c r="D561" s="89"/>
      <c r="E561" s="96"/>
      <c r="F561" s="96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</row>
    <row r="562" customFormat="false" ht="15.75" hidden="false" customHeight="false" outlineLevel="0" collapsed="false">
      <c r="A562" s="95"/>
      <c r="B562" s="95"/>
      <c r="C562" s="95"/>
      <c r="D562" s="89"/>
      <c r="E562" s="96"/>
      <c r="F562" s="96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</row>
    <row r="563" customFormat="false" ht="15.75" hidden="false" customHeight="false" outlineLevel="0" collapsed="false">
      <c r="A563" s="95"/>
      <c r="B563" s="95"/>
      <c r="C563" s="95"/>
      <c r="D563" s="89"/>
      <c r="E563" s="96"/>
      <c r="F563" s="96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</row>
    <row r="564" customFormat="false" ht="15.75" hidden="false" customHeight="false" outlineLevel="0" collapsed="false">
      <c r="A564" s="95"/>
      <c r="B564" s="95"/>
      <c r="C564" s="95"/>
      <c r="D564" s="89"/>
      <c r="E564" s="96"/>
      <c r="F564" s="96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</row>
    <row r="565" customFormat="false" ht="15.75" hidden="false" customHeight="false" outlineLevel="0" collapsed="false">
      <c r="A565" s="95"/>
      <c r="B565" s="95"/>
      <c r="C565" s="95"/>
      <c r="D565" s="89"/>
      <c r="E565" s="96"/>
      <c r="F565" s="96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</row>
    <row r="566" customFormat="false" ht="15.75" hidden="false" customHeight="false" outlineLevel="0" collapsed="false">
      <c r="A566" s="95"/>
      <c r="B566" s="95"/>
      <c r="C566" s="95"/>
      <c r="D566" s="89"/>
      <c r="E566" s="96"/>
      <c r="F566" s="96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</row>
    <row r="567" customFormat="false" ht="15.75" hidden="false" customHeight="false" outlineLevel="0" collapsed="false">
      <c r="A567" s="95"/>
      <c r="B567" s="95"/>
      <c r="C567" s="95"/>
      <c r="D567" s="89"/>
      <c r="E567" s="96"/>
      <c r="F567" s="96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</row>
    <row r="568" customFormat="false" ht="15.75" hidden="false" customHeight="false" outlineLevel="0" collapsed="false">
      <c r="A568" s="95"/>
      <c r="B568" s="95"/>
      <c r="C568" s="95"/>
      <c r="D568" s="89"/>
      <c r="E568" s="96"/>
      <c r="F568" s="96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</row>
    <row r="569" customFormat="false" ht="15.75" hidden="false" customHeight="false" outlineLevel="0" collapsed="false">
      <c r="A569" s="95"/>
      <c r="B569" s="95"/>
      <c r="C569" s="95"/>
      <c r="D569" s="89"/>
      <c r="E569" s="96"/>
      <c r="F569" s="96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</row>
    <row r="570" customFormat="false" ht="15.75" hidden="false" customHeight="false" outlineLevel="0" collapsed="false">
      <c r="A570" s="95"/>
      <c r="B570" s="95"/>
      <c r="C570" s="95"/>
      <c r="D570" s="89"/>
      <c r="E570" s="96"/>
      <c r="F570" s="96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</row>
    <row r="571" customFormat="false" ht="15.75" hidden="false" customHeight="false" outlineLevel="0" collapsed="false">
      <c r="A571" s="95"/>
      <c r="B571" s="95"/>
      <c r="C571" s="95"/>
      <c r="D571" s="89"/>
      <c r="E571" s="96"/>
      <c r="F571" s="96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</row>
    <row r="572" customFormat="false" ht="15.75" hidden="false" customHeight="false" outlineLevel="0" collapsed="false">
      <c r="A572" s="95"/>
      <c r="B572" s="95"/>
      <c r="C572" s="95"/>
      <c r="D572" s="89"/>
      <c r="E572" s="96"/>
      <c r="F572" s="96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</row>
    <row r="573" customFormat="false" ht="15.75" hidden="false" customHeight="false" outlineLevel="0" collapsed="false">
      <c r="A573" s="95"/>
      <c r="B573" s="95"/>
      <c r="C573" s="95"/>
      <c r="D573" s="89"/>
      <c r="E573" s="96"/>
      <c r="F573" s="96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</row>
    <row r="574" customFormat="false" ht="15.75" hidden="false" customHeight="false" outlineLevel="0" collapsed="false">
      <c r="A574" s="95"/>
      <c r="B574" s="95"/>
      <c r="C574" s="95"/>
      <c r="D574" s="89"/>
      <c r="E574" s="96"/>
      <c r="F574" s="96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</row>
    <row r="575" customFormat="false" ht="15.75" hidden="false" customHeight="false" outlineLevel="0" collapsed="false">
      <c r="A575" s="95"/>
      <c r="B575" s="95"/>
      <c r="C575" s="95"/>
      <c r="D575" s="89"/>
      <c r="E575" s="96"/>
      <c r="F575" s="96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</row>
    <row r="576" customFormat="false" ht="15.75" hidden="false" customHeight="false" outlineLevel="0" collapsed="false">
      <c r="A576" s="95"/>
      <c r="B576" s="95"/>
      <c r="C576" s="95"/>
      <c r="D576" s="89"/>
      <c r="E576" s="96"/>
      <c r="F576" s="96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</row>
    <row r="577" customFormat="false" ht="15.75" hidden="false" customHeight="false" outlineLevel="0" collapsed="false">
      <c r="A577" s="95"/>
      <c r="B577" s="95"/>
      <c r="C577" s="95"/>
      <c r="D577" s="89"/>
      <c r="E577" s="96"/>
      <c r="F577" s="96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</row>
    <row r="578" customFormat="false" ht="15.75" hidden="false" customHeight="false" outlineLevel="0" collapsed="false">
      <c r="A578" s="95"/>
      <c r="B578" s="95"/>
      <c r="C578" s="95"/>
      <c r="D578" s="89"/>
      <c r="E578" s="96"/>
      <c r="F578" s="96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</row>
    <row r="579" customFormat="false" ht="15.75" hidden="false" customHeight="false" outlineLevel="0" collapsed="false">
      <c r="A579" s="95"/>
      <c r="B579" s="95"/>
      <c r="C579" s="95"/>
      <c r="D579" s="89"/>
      <c r="E579" s="96"/>
      <c r="F579" s="96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</row>
    <row r="580" customFormat="false" ht="15.75" hidden="false" customHeight="false" outlineLevel="0" collapsed="false">
      <c r="A580" s="95"/>
      <c r="B580" s="95"/>
      <c r="C580" s="95"/>
      <c r="D580" s="89"/>
      <c r="E580" s="96"/>
      <c r="F580" s="96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</row>
    <row r="581" customFormat="false" ht="15.75" hidden="false" customHeight="false" outlineLevel="0" collapsed="false">
      <c r="A581" s="95"/>
      <c r="B581" s="95"/>
      <c r="C581" s="95"/>
      <c r="D581" s="89"/>
      <c r="E581" s="96"/>
      <c r="F581" s="96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</row>
    <row r="582" customFormat="false" ht="15.75" hidden="false" customHeight="false" outlineLevel="0" collapsed="false">
      <c r="A582" s="95"/>
      <c r="B582" s="95"/>
      <c r="C582" s="95"/>
      <c r="D582" s="89"/>
      <c r="E582" s="96"/>
      <c r="F582" s="96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</row>
    <row r="583" customFormat="false" ht="15.75" hidden="false" customHeight="false" outlineLevel="0" collapsed="false">
      <c r="A583" s="95"/>
      <c r="B583" s="95"/>
      <c r="C583" s="95"/>
      <c r="D583" s="89"/>
      <c r="E583" s="96"/>
      <c r="F583" s="96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</row>
    <row r="584" customFormat="false" ht="15.75" hidden="false" customHeight="false" outlineLevel="0" collapsed="false">
      <c r="A584" s="95"/>
      <c r="B584" s="95"/>
      <c r="C584" s="95"/>
      <c r="D584" s="89"/>
      <c r="E584" s="96"/>
      <c r="F584" s="96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</row>
    <row r="585" customFormat="false" ht="15.75" hidden="false" customHeight="false" outlineLevel="0" collapsed="false">
      <c r="A585" s="95"/>
      <c r="B585" s="95"/>
      <c r="C585" s="95"/>
      <c r="D585" s="89"/>
      <c r="E585" s="96"/>
      <c r="F585" s="96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</row>
    <row r="586" customFormat="false" ht="15.75" hidden="false" customHeight="false" outlineLevel="0" collapsed="false">
      <c r="A586" s="95"/>
      <c r="B586" s="95"/>
      <c r="C586" s="95"/>
      <c r="D586" s="89"/>
      <c r="E586" s="96"/>
      <c r="F586" s="96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</row>
    <row r="587" customFormat="false" ht="15.75" hidden="false" customHeight="false" outlineLevel="0" collapsed="false">
      <c r="A587" s="95"/>
      <c r="B587" s="95"/>
      <c r="C587" s="95"/>
      <c r="D587" s="89"/>
      <c r="E587" s="96"/>
      <c r="F587" s="96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</row>
    <row r="588" customFormat="false" ht="15.75" hidden="false" customHeight="false" outlineLevel="0" collapsed="false">
      <c r="A588" s="95"/>
      <c r="B588" s="95"/>
      <c r="C588" s="95"/>
      <c r="D588" s="89"/>
      <c r="E588" s="96"/>
      <c r="F588" s="96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</row>
    <row r="589" customFormat="false" ht="15.75" hidden="false" customHeight="false" outlineLevel="0" collapsed="false">
      <c r="A589" s="95"/>
      <c r="B589" s="95"/>
      <c r="C589" s="95"/>
      <c r="D589" s="89"/>
      <c r="E589" s="96"/>
      <c r="F589" s="96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</row>
    <row r="590" customFormat="false" ht="15.75" hidden="false" customHeight="false" outlineLevel="0" collapsed="false">
      <c r="A590" s="95"/>
      <c r="B590" s="95"/>
      <c r="C590" s="95"/>
      <c r="D590" s="89"/>
      <c r="E590" s="96"/>
      <c r="F590" s="96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</row>
    <row r="591" customFormat="false" ht="15.75" hidden="false" customHeight="false" outlineLevel="0" collapsed="false">
      <c r="A591" s="95"/>
      <c r="B591" s="95"/>
      <c r="C591" s="95"/>
      <c r="D591" s="89"/>
      <c r="E591" s="96"/>
      <c r="F591" s="96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</row>
    <row r="592" customFormat="false" ht="15.75" hidden="false" customHeight="false" outlineLevel="0" collapsed="false">
      <c r="A592" s="95"/>
      <c r="B592" s="95"/>
      <c r="C592" s="95"/>
      <c r="D592" s="89"/>
      <c r="E592" s="96"/>
      <c r="F592" s="96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</row>
    <row r="593" customFormat="false" ht="15.75" hidden="false" customHeight="false" outlineLevel="0" collapsed="false">
      <c r="A593" s="95"/>
      <c r="B593" s="95"/>
      <c r="C593" s="95"/>
      <c r="D593" s="89"/>
      <c r="E593" s="96"/>
      <c r="F593" s="96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</row>
    <row r="594" customFormat="false" ht="15.75" hidden="false" customHeight="false" outlineLevel="0" collapsed="false">
      <c r="A594" s="95"/>
      <c r="B594" s="95"/>
      <c r="C594" s="95"/>
      <c r="D594" s="89"/>
      <c r="E594" s="96"/>
      <c r="F594" s="96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</row>
    <row r="595" customFormat="false" ht="15.75" hidden="false" customHeight="false" outlineLevel="0" collapsed="false">
      <c r="A595" s="95"/>
      <c r="B595" s="95"/>
      <c r="C595" s="95"/>
      <c r="D595" s="89"/>
      <c r="E595" s="96"/>
      <c r="F595" s="96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</row>
    <row r="596" customFormat="false" ht="15.75" hidden="false" customHeight="false" outlineLevel="0" collapsed="false">
      <c r="A596" s="95"/>
      <c r="B596" s="95"/>
      <c r="C596" s="95"/>
      <c r="D596" s="89"/>
      <c r="E596" s="96"/>
      <c r="F596" s="96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</row>
    <row r="597" customFormat="false" ht="15.75" hidden="false" customHeight="false" outlineLevel="0" collapsed="false">
      <c r="A597" s="95"/>
      <c r="B597" s="95"/>
      <c r="C597" s="95"/>
      <c r="D597" s="89"/>
      <c r="E597" s="96"/>
      <c r="F597" s="96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</row>
    <row r="598" customFormat="false" ht="15.75" hidden="false" customHeight="false" outlineLevel="0" collapsed="false">
      <c r="A598" s="95"/>
      <c r="B598" s="95"/>
      <c r="C598" s="95"/>
      <c r="D598" s="89"/>
      <c r="E598" s="96"/>
      <c r="F598" s="96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</row>
    <row r="599" customFormat="false" ht="15.75" hidden="false" customHeight="false" outlineLevel="0" collapsed="false">
      <c r="A599" s="95"/>
      <c r="B599" s="95"/>
      <c r="C599" s="95"/>
      <c r="D599" s="89"/>
      <c r="E599" s="96"/>
      <c r="F599" s="96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</row>
    <row r="600" customFormat="false" ht="15.75" hidden="false" customHeight="false" outlineLevel="0" collapsed="false">
      <c r="A600" s="95"/>
      <c r="B600" s="95"/>
      <c r="C600" s="95"/>
      <c r="D600" s="89"/>
      <c r="E600" s="96"/>
      <c r="F600" s="96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</row>
    <row r="601" customFormat="false" ht="15.75" hidden="false" customHeight="false" outlineLevel="0" collapsed="false">
      <c r="A601" s="95"/>
      <c r="B601" s="95"/>
      <c r="C601" s="95"/>
      <c r="D601" s="89"/>
      <c r="E601" s="96"/>
      <c r="F601" s="96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</row>
    <row r="602" customFormat="false" ht="15.75" hidden="false" customHeight="false" outlineLevel="0" collapsed="false">
      <c r="A602" s="95"/>
      <c r="B602" s="95"/>
      <c r="C602" s="95"/>
      <c r="D602" s="89"/>
      <c r="E602" s="96"/>
      <c r="F602" s="96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</row>
    <row r="603" customFormat="false" ht="15.75" hidden="false" customHeight="false" outlineLevel="0" collapsed="false">
      <c r="A603" s="95"/>
      <c r="B603" s="95"/>
      <c r="C603" s="95"/>
      <c r="D603" s="89"/>
      <c r="E603" s="96"/>
      <c r="F603" s="96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</row>
    <row r="604" customFormat="false" ht="15.75" hidden="false" customHeight="false" outlineLevel="0" collapsed="false">
      <c r="A604" s="95"/>
      <c r="B604" s="95"/>
      <c r="C604" s="95"/>
      <c r="D604" s="89"/>
      <c r="E604" s="96"/>
      <c r="F604" s="96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</row>
    <row r="605" customFormat="false" ht="15.75" hidden="false" customHeight="false" outlineLevel="0" collapsed="false">
      <c r="A605" s="95"/>
      <c r="B605" s="95"/>
      <c r="C605" s="95"/>
      <c r="D605" s="89"/>
      <c r="E605" s="96"/>
      <c r="F605" s="96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</row>
    <row r="606" customFormat="false" ht="15.75" hidden="false" customHeight="false" outlineLevel="0" collapsed="false">
      <c r="A606" s="95"/>
      <c r="B606" s="95"/>
      <c r="C606" s="95"/>
      <c r="D606" s="89"/>
      <c r="E606" s="96"/>
      <c r="F606" s="96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</row>
    <row r="607" customFormat="false" ht="15.75" hidden="false" customHeight="false" outlineLevel="0" collapsed="false">
      <c r="A607" s="95"/>
      <c r="B607" s="95"/>
      <c r="C607" s="95"/>
      <c r="D607" s="89"/>
      <c r="E607" s="96"/>
      <c r="F607" s="96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</row>
    <row r="608" customFormat="false" ht="15.75" hidden="false" customHeight="false" outlineLevel="0" collapsed="false">
      <c r="A608" s="95"/>
      <c r="B608" s="95"/>
      <c r="C608" s="95"/>
      <c r="D608" s="89"/>
      <c r="E608" s="96"/>
      <c r="F608" s="96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</row>
    <row r="609" customFormat="false" ht="15.75" hidden="false" customHeight="false" outlineLevel="0" collapsed="false">
      <c r="A609" s="95"/>
      <c r="B609" s="95"/>
      <c r="C609" s="95"/>
      <c r="D609" s="89"/>
      <c r="E609" s="96"/>
      <c r="F609" s="96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</row>
    <row r="610" customFormat="false" ht="15.75" hidden="false" customHeight="false" outlineLevel="0" collapsed="false">
      <c r="A610" s="95"/>
      <c r="B610" s="95"/>
      <c r="C610" s="95"/>
      <c r="D610" s="89"/>
      <c r="E610" s="96"/>
      <c r="F610" s="96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</row>
    <row r="611" customFormat="false" ht="15.75" hidden="false" customHeight="false" outlineLevel="0" collapsed="false">
      <c r="A611" s="95"/>
      <c r="B611" s="95"/>
      <c r="C611" s="95"/>
      <c r="D611" s="89"/>
      <c r="E611" s="96"/>
      <c r="F611" s="96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</row>
    <row r="612" customFormat="false" ht="15.75" hidden="false" customHeight="false" outlineLevel="0" collapsed="false">
      <c r="A612" s="95"/>
      <c r="B612" s="95"/>
      <c r="C612" s="95"/>
      <c r="D612" s="89"/>
      <c r="E612" s="96"/>
      <c r="F612" s="96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</row>
    <row r="613" customFormat="false" ht="15.75" hidden="false" customHeight="false" outlineLevel="0" collapsed="false">
      <c r="A613" s="95"/>
      <c r="B613" s="95"/>
      <c r="C613" s="95"/>
      <c r="D613" s="89"/>
      <c r="E613" s="96"/>
      <c r="F613" s="96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</row>
    <row r="614" customFormat="false" ht="15.75" hidden="false" customHeight="false" outlineLevel="0" collapsed="false">
      <c r="A614" s="95"/>
      <c r="B614" s="95"/>
      <c r="C614" s="95"/>
      <c r="D614" s="89"/>
      <c r="E614" s="96"/>
      <c r="F614" s="96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</row>
    <row r="615" customFormat="false" ht="15.75" hidden="false" customHeight="false" outlineLevel="0" collapsed="false">
      <c r="A615" s="95"/>
      <c r="B615" s="95"/>
      <c r="C615" s="95"/>
      <c r="D615" s="89"/>
      <c r="E615" s="96"/>
      <c r="F615" s="96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</row>
    <row r="616" customFormat="false" ht="15.75" hidden="false" customHeight="false" outlineLevel="0" collapsed="false">
      <c r="A616" s="95"/>
      <c r="B616" s="95"/>
      <c r="C616" s="95"/>
      <c r="D616" s="89"/>
      <c r="E616" s="96"/>
      <c r="F616" s="96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</row>
    <row r="617" customFormat="false" ht="15.75" hidden="false" customHeight="false" outlineLevel="0" collapsed="false">
      <c r="A617" s="95"/>
      <c r="B617" s="95"/>
      <c r="C617" s="95"/>
      <c r="D617" s="89"/>
      <c r="E617" s="96"/>
      <c r="F617" s="96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</row>
    <row r="618" customFormat="false" ht="15.75" hidden="false" customHeight="false" outlineLevel="0" collapsed="false">
      <c r="A618" s="95"/>
      <c r="B618" s="95"/>
      <c r="C618" s="95"/>
      <c r="D618" s="89"/>
      <c r="E618" s="96"/>
      <c r="F618" s="96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</row>
    <row r="619" customFormat="false" ht="15.75" hidden="false" customHeight="false" outlineLevel="0" collapsed="false">
      <c r="A619" s="95"/>
      <c r="B619" s="95"/>
      <c r="C619" s="95"/>
      <c r="D619" s="89"/>
      <c r="E619" s="96"/>
      <c r="F619" s="96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</row>
    <row r="620" customFormat="false" ht="15.75" hidden="false" customHeight="false" outlineLevel="0" collapsed="false">
      <c r="A620" s="95"/>
      <c r="B620" s="95"/>
      <c r="C620" s="95"/>
      <c r="D620" s="89"/>
      <c r="E620" s="96"/>
      <c r="F620" s="96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</row>
    <row r="621" customFormat="false" ht="15.75" hidden="false" customHeight="false" outlineLevel="0" collapsed="false">
      <c r="A621" s="95"/>
      <c r="B621" s="95"/>
      <c r="C621" s="95"/>
      <c r="D621" s="89"/>
      <c r="E621" s="96"/>
      <c r="F621" s="96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</row>
    <row r="622" customFormat="false" ht="15.75" hidden="false" customHeight="false" outlineLevel="0" collapsed="false">
      <c r="A622" s="95"/>
      <c r="B622" s="95"/>
      <c r="C622" s="95"/>
      <c r="D622" s="89"/>
      <c r="E622" s="96"/>
      <c r="F622" s="96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</row>
    <row r="623" customFormat="false" ht="15.75" hidden="false" customHeight="false" outlineLevel="0" collapsed="false">
      <c r="A623" s="95"/>
      <c r="B623" s="95"/>
      <c r="C623" s="95"/>
      <c r="D623" s="89"/>
      <c r="E623" s="96"/>
      <c r="F623" s="96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</row>
    <row r="624" customFormat="false" ht="15.75" hidden="false" customHeight="false" outlineLevel="0" collapsed="false">
      <c r="A624" s="95"/>
      <c r="B624" s="95"/>
      <c r="C624" s="95"/>
      <c r="D624" s="89"/>
      <c r="E624" s="96"/>
      <c r="F624" s="96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</row>
    <row r="625" customFormat="false" ht="15.75" hidden="false" customHeight="false" outlineLevel="0" collapsed="false">
      <c r="A625" s="95"/>
      <c r="B625" s="95"/>
      <c r="C625" s="95"/>
      <c r="D625" s="89"/>
      <c r="E625" s="96"/>
      <c r="F625" s="96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</row>
    <row r="626" customFormat="false" ht="15.75" hidden="false" customHeight="false" outlineLevel="0" collapsed="false">
      <c r="A626" s="95"/>
      <c r="B626" s="95"/>
      <c r="C626" s="95"/>
      <c r="D626" s="89"/>
      <c r="E626" s="96"/>
      <c r="F626" s="96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</row>
    <row r="627" customFormat="false" ht="15.75" hidden="false" customHeight="false" outlineLevel="0" collapsed="false">
      <c r="A627" s="95"/>
      <c r="B627" s="95"/>
      <c r="C627" s="95"/>
      <c r="D627" s="89"/>
      <c r="E627" s="96"/>
      <c r="F627" s="96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</row>
    <row r="628" customFormat="false" ht="15.75" hidden="false" customHeight="false" outlineLevel="0" collapsed="false">
      <c r="A628" s="95"/>
      <c r="B628" s="95"/>
      <c r="C628" s="95"/>
      <c r="D628" s="89"/>
      <c r="E628" s="96"/>
      <c r="F628" s="96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</row>
    <row r="629" customFormat="false" ht="15.75" hidden="false" customHeight="false" outlineLevel="0" collapsed="false">
      <c r="A629" s="95"/>
      <c r="B629" s="95"/>
      <c r="C629" s="95"/>
      <c r="D629" s="89"/>
      <c r="E629" s="96"/>
      <c r="F629" s="96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</row>
    <row r="630" customFormat="false" ht="15.75" hidden="false" customHeight="false" outlineLevel="0" collapsed="false">
      <c r="A630" s="95"/>
      <c r="B630" s="95"/>
      <c r="C630" s="95"/>
      <c r="D630" s="89"/>
      <c r="E630" s="96"/>
      <c r="F630" s="96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</row>
    <row r="631" customFormat="false" ht="15.75" hidden="false" customHeight="false" outlineLevel="0" collapsed="false">
      <c r="A631" s="95"/>
      <c r="B631" s="95"/>
      <c r="C631" s="95"/>
      <c r="D631" s="89"/>
      <c r="E631" s="96"/>
      <c r="F631" s="96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</row>
    <row r="632" customFormat="false" ht="15.75" hidden="false" customHeight="false" outlineLevel="0" collapsed="false">
      <c r="A632" s="95"/>
      <c r="B632" s="95"/>
      <c r="C632" s="95"/>
      <c r="D632" s="89"/>
      <c r="E632" s="96"/>
      <c r="F632" s="96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</row>
    <row r="633" customFormat="false" ht="15.75" hidden="false" customHeight="false" outlineLevel="0" collapsed="false">
      <c r="A633" s="95"/>
      <c r="B633" s="95"/>
      <c r="C633" s="95"/>
      <c r="D633" s="89"/>
      <c r="E633" s="96"/>
      <c r="F633" s="96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</row>
    <row r="634" customFormat="false" ht="15.75" hidden="false" customHeight="false" outlineLevel="0" collapsed="false">
      <c r="A634" s="95"/>
      <c r="B634" s="95"/>
      <c r="C634" s="95"/>
      <c r="D634" s="89"/>
      <c r="E634" s="96"/>
      <c r="F634" s="96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</row>
    <row r="635" customFormat="false" ht="15.75" hidden="false" customHeight="false" outlineLevel="0" collapsed="false">
      <c r="A635" s="95"/>
      <c r="B635" s="95"/>
      <c r="C635" s="95"/>
      <c r="D635" s="89"/>
      <c r="E635" s="96"/>
      <c r="F635" s="96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</row>
    <row r="636" customFormat="false" ht="15.75" hidden="false" customHeight="false" outlineLevel="0" collapsed="false">
      <c r="A636" s="95"/>
      <c r="B636" s="95"/>
      <c r="C636" s="95"/>
      <c r="D636" s="89"/>
      <c r="E636" s="96"/>
      <c r="F636" s="96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</row>
    <row r="637" customFormat="false" ht="15.75" hidden="false" customHeight="false" outlineLevel="0" collapsed="false">
      <c r="A637" s="95"/>
      <c r="B637" s="95"/>
      <c r="C637" s="95"/>
      <c r="D637" s="89"/>
      <c r="E637" s="96"/>
      <c r="F637" s="96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</row>
    <row r="638" customFormat="false" ht="15.75" hidden="false" customHeight="false" outlineLevel="0" collapsed="false">
      <c r="A638" s="95"/>
      <c r="B638" s="95"/>
      <c r="C638" s="95"/>
      <c r="D638" s="89"/>
      <c r="E638" s="96"/>
      <c r="F638" s="96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</row>
    <row r="639" customFormat="false" ht="15.75" hidden="false" customHeight="false" outlineLevel="0" collapsed="false">
      <c r="A639" s="95"/>
      <c r="B639" s="95"/>
      <c r="C639" s="95"/>
      <c r="D639" s="89"/>
      <c r="E639" s="96"/>
      <c r="F639" s="96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</row>
    <row r="640" customFormat="false" ht="15.75" hidden="false" customHeight="false" outlineLevel="0" collapsed="false">
      <c r="A640" s="95"/>
      <c r="B640" s="95"/>
      <c r="C640" s="95"/>
      <c r="D640" s="89"/>
      <c r="E640" s="96"/>
      <c r="F640" s="96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</row>
    <row r="641" customFormat="false" ht="15.75" hidden="false" customHeight="false" outlineLevel="0" collapsed="false">
      <c r="A641" s="95"/>
      <c r="B641" s="95"/>
      <c r="C641" s="95"/>
      <c r="D641" s="89"/>
      <c r="E641" s="96"/>
      <c r="F641" s="96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</row>
    <row r="642" customFormat="false" ht="15.75" hidden="false" customHeight="false" outlineLevel="0" collapsed="false">
      <c r="A642" s="95"/>
      <c r="B642" s="95"/>
      <c r="C642" s="95"/>
      <c r="D642" s="89"/>
      <c r="E642" s="96"/>
      <c r="F642" s="96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</row>
    <row r="643" customFormat="false" ht="15.75" hidden="false" customHeight="false" outlineLevel="0" collapsed="false">
      <c r="A643" s="95"/>
      <c r="B643" s="95"/>
      <c r="C643" s="95"/>
      <c r="D643" s="89"/>
      <c r="E643" s="96"/>
      <c r="F643" s="96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</row>
    <row r="644" customFormat="false" ht="15.75" hidden="false" customHeight="false" outlineLevel="0" collapsed="false">
      <c r="A644" s="95"/>
      <c r="B644" s="95"/>
      <c r="C644" s="95"/>
      <c r="D644" s="89"/>
      <c r="E644" s="96"/>
      <c r="F644" s="96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</row>
    <row r="645" customFormat="false" ht="15.75" hidden="false" customHeight="false" outlineLevel="0" collapsed="false">
      <c r="A645" s="95"/>
      <c r="B645" s="95"/>
      <c r="C645" s="95"/>
      <c r="D645" s="89"/>
      <c r="E645" s="96"/>
      <c r="F645" s="96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</row>
    <row r="646" customFormat="false" ht="15.75" hidden="false" customHeight="false" outlineLevel="0" collapsed="false">
      <c r="A646" s="95"/>
      <c r="B646" s="95"/>
      <c r="C646" s="95"/>
      <c r="D646" s="89"/>
      <c r="E646" s="96"/>
      <c r="F646" s="96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</row>
    <row r="647" customFormat="false" ht="15.75" hidden="false" customHeight="false" outlineLevel="0" collapsed="false">
      <c r="A647" s="95"/>
      <c r="B647" s="95"/>
      <c r="C647" s="95"/>
      <c r="D647" s="89"/>
      <c r="E647" s="96"/>
      <c r="F647" s="96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</row>
    <row r="648" customFormat="false" ht="15.75" hidden="false" customHeight="false" outlineLevel="0" collapsed="false">
      <c r="A648" s="95"/>
      <c r="B648" s="95"/>
      <c r="C648" s="95"/>
      <c r="D648" s="89"/>
      <c r="E648" s="96"/>
      <c r="F648" s="96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</row>
    <row r="649" customFormat="false" ht="15.75" hidden="false" customHeight="false" outlineLevel="0" collapsed="false">
      <c r="A649" s="95"/>
      <c r="B649" s="95"/>
      <c r="C649" s="95"/>
      <c r="D649" s="89"/>
      <c r="E649" s="96"/>
      <c r="F649" s="96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</row>
    <row r="650" customFormat="false" ht="15.75" hidden="false" customHeight="false" outlineLevel="0" collapsed="false">
      <c r="A650" s="95"/>
      <c r="B650" s="95"/>
      <c r="C650" s="95"/>
      <c r="D650" s="89"/>
      <c r="E650" s="96"/>
      <c r="F650" s="96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</row>
    <row r="651" customFormat="false" ht="15.75" hidden="false" customHeight="false" outlineLevel="0" collapsed="false">
      <c r="A651" s="95"/>
      <c r="B651" s="95"/>
      <c r="C651" s="95"/>
      <c r="D651" s="89"/>
      <c r="E651" s="96"/>
      <c r="F651" s="96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</row>
    <row r="652" customFormat="false" ht="15.75" hidden="false" customHeight="false" outlineLevel="0" collapsed="false">
      <c r="A652" s="95"/>
      <c r="B652" s="95"/>
      <c r="C652" s="95"/>
      <c r="D652" s="89"/>
      <c r="E652" s="96"/>
      <c r="F652" s="96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</row>
    <row r="653" customFormat="false" ht="15.75" hidden="false" customHeight="false" outlineLevel="0" collapsed="false">
      <c r="A653" s="95"/>
      <c r="B653" s="95"/>
      <c r="C653" s="95"/>
      <c r="D653" s="89"/>
      <c r="E653" s="96"/>
      <c r="F653" s="96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</row>
    <row r="654" customFormat="false" ht="15.75" hidden="false" customHeight="false" outlineLevel="0" collapsed="false">
      <c r="A654" s="95"/>
      <c r="B654" s="95"/>
      <c r="C654" s="95"/>
      <c r="D654" s="89"/>
      <c r="E654" s="96"/>
      <c r="F654" s="96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</row>
    <row r="655" customFormat="false" ht="15.75" hidden="false" customHeight="false" outlineLevel="0" collapsed="false">
      <c r="A655" s="95"/>
      <c r="B655" s="95"/>
      <c r="C655" s="95"/>
      <c r="D655" s="89"/>
      <c r="E655" s="96"/>
      <c r="F655" s="96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</row>
    <row r="656" customFormat="false" ht="15.75" hidden="false" customHeight="false" outlineLevel="0" collapsed="false">
      <c r="A656" s="95"/>
      <c r="B656" s="95"/>
      <c r="C656" s="95"/>
      <c r="D656" s="89"/>
      <c r="E656" s="96"/>
      <c r="F656" s="96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</row>
    <row r="657" customFormat="false" ht="15.75" hidden="false" customHeight="false" outlineLevel="0" collapsed="false">
      <c r="A657" s="95"/>
      <c r="B657" s="95"/>
      <c r="C657" s="95"/>
      <c r="D657" s="89"/>
      <c r="E657" s="96"/>
      <c r="F657" s="96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</row>
    <row r="658" customFormat="false" ht="15.75" hidden="false" customHeight="false" outlineLevel="0" collapsed="false">
      <c r="A658" s="95"/>
      <c r="B658" s="95"/>
      <c r="C658" s="95"/>
      <c r="D658" s="89"/>
      <c r="E658" s="96"/>
      <c r="F658" s="96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</row>
    <row r="659" customFormat="false" ht="15.75" hidden="false" customHeight="false" outlineLevel="0" collapsed="false">
      <c r="A659" s="95"/>
      <c r="B659" s="95"/>
      <c r="C659" s="95"/>
      <c r="D659" s="89"/>
      <c r="E659" s="96"/>
      <c r="F659" s="96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</row>
    <row r="660" customFormat="false" ht="15.75" hidden="false" customHeight="false" outlineLevel="0" collapsed="false">
      <c r="A660" s="95"/>
      <c r="B660" s="95"/>
      <c r="C660" s="95"/>
      <c r="D660" s="89"/>
      <c r="E660" s="96"/>
      <c r="F660" s="96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</row>
    <row r="661" customFormat="false" ht="15.75" hidden="false" customHeight="false" outlineLevel="0" collapsed="false">
      <c r="A661" s="95"/>
      <c r="B661" s="95"/>
      <c r="C661" s="95"/>
      <c r="D661" s="89"/>
      <c r="E661" s="96"/>
      <c r="F661" s="96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</row>
    <row r="662" customFormat="false" ht="15.75" hidden="false" customHeight="false" outlineLevel="0" collapsed="false">
      <c r="A662" s="95"/>
      <c r="B662" s="95"/>
      <c r="C662" s="95"/>
      <c r="D662" s="89"/>
      <c r="E662" s="96"/>
      <c r="F662" s="96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</row>
    <row r="663" customFormat="false" ht="15.75" hidden="false" customHeight="false" outlineLevel="0" collapsed="false">
      <c r="A663" s="95"/>
      <c r="B663" s="95"/>
      <c r="C663" s="95"/>
      <c r="D663" s="89"/>
      <c r="E663" s="96"/>
      <c r="F663" s="96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</row>
    <row r="664" customFormat="false" ht="15.75" hidden="false" customHeight="false" outlineLevel="0" collapsed="false">
      <c r="A664" s="95"/>
      <c r="B664" s="95"/>
      <c r="C664" s="95"/>
      <c r="D664" s="89"/>
      <c r="E664" s="96"/>
      <c r="F664" s="96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</row>
    <row r="665" customFormat="false" ht="15.75" hidden="false" customHeight="false" outlineLevel="0" collapsed="false">
      <c r="A665" s="95"/>
      <c r="B665" s="95"/>
      <c r="C665" s="95"/>
      <c r="D665" s="89"/>
      <c r="E665" s="96"/>
      <c r="F665" s="96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</row>
    <row r="666" customFormat="false" ht="15.75" hidden="false" customHeight="false" outlineLevel="0" collapsed="false">
      <c r="A666" s="95"/>
      <c r="B666" s="95"/>
      <c r="C666" s="95"/>
      <c r="D666" s="89"/>
      <c r="E666" s="96"/>
      <c r="F666" s="96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</row>
    <row r="667" customFormat="false" ht="15.75" hidden="false" customHeight="false" outlineLevel="0" collapsed="false">
      <c r="A667" s="95"/>
      <c r="B667" s="95"/>
      <c r="C667" s="95"/>
      <c r="D667" s="89"/>
      <c r="E667" s="96"/>
      <c r="F667" s="96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</row>
    <row r="668" customFormat="false" ht="15.75" hidden="false" customHeight="false" outlineLevel="0" collapsed="false">
      <c r="A668" s="95"/>
      <c r="B668" s="95"/>
      <c r="C668" s="95"/>
      <c r="D668" s="89"/>
      <c r="E668" s="96"/>
      <c r="F668" s="96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</row>
    <row r="669" customFormat="false" ht="15.75" hidden="false" customHeight="false" outlineLevel="0" collapsed="false">
      <c r="A669" s="95"/>
      <c r="B669" s="95"/>
      <c r="C669" s="95"/>
      <c r="D669" s="89"/>
      <c r="E669" s="96"/>
      <c r="F669" s="96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</row>
    <row r="670" customFormat="false" ht="15.75" hidden="false" customHeight="false" outlineLevel="0" collapsed="false">
      <c r="A670" s="95"/>
      <c r="B670" s="95"/>
      <c r="C670" s="95"/>
      <c r="D670" s="89"/>
      <c r="E670" s="96"/>
      <c r="F670" s="96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</row>
    <row r="671" customFormat="false" ht="15.75" hidden="false" customHeight="false" outlineLevel="0" collapsed="false">
      <c r="A671" s="95"/>
      <c r="B671" s="95"/>
      <c r="C671" s="95"/>
      <c r="D671" s="89"/>
      <c r="E671" s="96"/>
      <c r="F671" s="96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</row>
    <row r="672" customFormat="false" ht="15.75" hidden="false" customHeight="false" outlineLevel="0" collapsed="false">
      <c r="A672" s="95"/>
      <c r="B672" s="95"/>
      <c r="C672" s="95"/>
      <c r="D672" s="89"/>
      <c r="E672" s="96"/>
      <c r="F672" s="96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</row>
    <row r="673" customFormat="false" ht="15.75" hidden="false" customHeight="false" outlineLevel="0" collapsed="false">
      <c r="A673" s="95"/>
      <c r="B673" s="95"/>
      <c r="C673" s="95"/>
      <c r="D673" s="89"/>
      <c r="E673" s="96"/>
      <c r="F673" s="96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</row>
    <row r="674" customFormat="false" ht="15.75" hidden="false" customHeight="false" outlineLevel="0" collapsed="false">
      <c r="A674" s="95"/>
      <c r="B674" s="95"/>
      <c r="C674" s="95"/>
      <c r="D674" s="89"/>
      <c r="E674" s="96"/>
      <c r="F674" s="96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</row>
    <row r="675" customFormat="false" ht="15.75" hidden="false" customHeight="false" outlineLevel="0" collapsed="false">
      <c r="A675" s="95"/>
      <c r="B675" s="95"/>
      <c r="C675" s="95"/>
      <c r="D675" s="89"/>
      <c r="E675" s="96"/>
      <c r="F675" s="96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</row>
    <row r="676" customFormat="false" ht="15.75" hidden="false" customHeight="false" outlineLevel="0" collapsed="false">
      <c r="A676" s="95"/>
      <c r="B676" s="95"/>
      <c r="C676" s="95"/>
      <c r="D676" s="89"/>
      <c r="E676" s="96"/>
      <c r="F676" s="96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</row>
    <row r="677" customFormat="false" ht="15.75" hidden="false" customHeight="false" outlineLevel="0" collapsed="false">
      <c r="A677" s="95"/>
      <c r="B677" s="95"/>
      <c r="C677" s="95"/>
      <c r="D677" s="89"/>
      <c r="E677" s="96"/>
      <c r="F677" s="96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</row>
    <row r="678" customFormat="false" ht="15.75" hidden="false" customHeight="false" outlineLevel="0" collapsed="false">
      <c r="A678" s="95"/>
      <c r="B678" s="95"/>
      <c r="C678" s="95"/>
      <c r="D678" s="89"/>
      <c r="E678" s="96"/>
      <c r="F678" s="96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</row>
    <row r="679" customFormat="false" ht="15.75" hidden="false" customHeight="false" outlineLevel="0" collapsed="false">
      <c r="A679" s="95"/>
      <c r="B679" s="95"/>
      <c r="C679" s="95"/>
      <c r="D679" s="89"/>
      <c r="E679" s="96"/>
      <c r="F679" s="96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</row>
    <row r="680" customFormat="false" ht="15.75" hidden="false" customHeight="false" outlineLevel="0" collapsed="false">
      <c r="A680" s="95"/>
      <c r="B680" s="95"/>
      <c r="C680" s="95"/>
      <c r="D680" s="89"/>
      <c r="E680" s="96"/>
      <c r="F680" s="96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</row>
    <row r="681" customFormat="false" ht="15.75" hidden="false" customHeight="false" outlineLevel="0" collapsed="false">
      <c r="A681" s="95"/>
      <c r="B681" s="95"/>
      <c r="C681" s="95"/>
      <c r="D681" s="89"/>
      <c r="E681" s="96"/>
      <c r="F681" s="96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</row>
    <row r="682" customFormat="false" ht="15.75" hidden="false" customHeight="false" outlineLevel="0" collapsed="false">
      <c r="A682" s="95"/>
      <c r="B682" s="95"/>
      <c r="C682" s="95"/>
      <c r="D682" s="89"/>
      <c r="E682" s="96"/>
      <c r="F682" s="96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</row>
    <row r="683" customFormat="false" ht="15.75" hidden="false" customHeight="false" outlineLevel="0" collapsed="false">
      <c r="A683" s="95"/>
      <c r="B683" s="95"/>
      <c r="C683" s="95"/>
      <c r="D683" s="89"/>
      <c r="E683" s="96"/>
      <c r="F683" s="96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</row>
    <row r="684" customFormat="false" ht="15.75" hidden="false" customHeight="false" outlineLevel="0" collapsed="false">
      <c r="A684" s="95"/>
      <c r="B684" s="95"/>
      <c r="C684" s="95"/>
      <c r="D684" s="89"/>
      <c r="E684" s="96"/>
      <c r="F684" s="96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</row>
    <row r="685" customFormat="false" ht="15.75" hidden="false" customHeight="false" outlineLevel="0" collapsed="false">
      <c r="A685" s="95"/>
      <c r="B685" s="95"/>
      <c r="C685" s="95"/>
      <c r="D685" s="89"/>
      <c r="E685" s="96"/>
      <c r="F685" s="96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</row>
    <row r="686" customFormat="false" ht="15.75" hidden="false" customHeight="false" outlineLevel="0" collapsed="false">
      <c r="A686" s="95"/>
      <c r="B686" s="95"/>
      <c r="C686" s="95"/>
      <c r="D686" s="89"/>
      <c r="E686" s="96"/>
      <c r="F686" s="96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</row>
    <row r="687" customFormat="false" ht="15.75" hidden="false" customHeight="false" outlineLevel="0" collapsed="false">
      <c r="A687" s="95"/>
      <c r="B687" s="95"/>
      <c r="C687" s="95"/>
      <c r="D687" s="89"/>
      <c r="E687" s="96"/>
      <c r="F687" s="96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</row>
    <row r="688" customFormat="false" ht="15.75" hidden="false" customHeight="false" outlineLevel="0" collapsed="false">
      <c r="A688" s="95"/>
      <c r="B688" s="95"/>
      <c r="C688" s="95"/>
      <c r="D688" s="89"/>
      <c r="E688" s="96"/>
      <c r="F688" s="96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</row>
    <row r="689" customFormat="false" ht="15.75" hidden="false" customHeight="false" outlineLevel="0" collapsed="false">
      <c r="A689" s="95"/>
      <c r="B689" s="95"/>
      <c r="C689" s="95"/>
      <c r="D689" s="89"/>
      <c r="E689" s="96"/>
      <c r="F689" s="96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</row>
    <row r="690" customFormat="false" ht="15.75" hidden="false" customHeight="false" outlineLevel="0" collapsed="false">
      <c r="A690" s="95"/>
      <c r="B690" s="95"/>
      <c r="C690" s="95"/>
      <c r="D690" s="89"/>
      <c r="E690" s="96"/>
      <c r="F690" s="96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</row>
    <row r="691" customFormat="false" ht="15.75" hidden="false" customHeight="false" outlineLevel="0" collapsed="false">
      <c r="A691" s="95"/>
      <c r="B691" s="95"/>
      <c r="C691" s="95"/>
      <c r="D691" s="89"/>
      <c r="E691" s="96"/>
      <c r="F691" s="96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</row>
    <row r="692" customFormat="false" ht="15.75" hidden="false" customHeight="false" outlineLevel="0" collapsed="false">
      <c r="A692" s="95"/>
      <c r="B692" s="95"/>
      <c r="C692" s="95"/>
      <c r="D692" s="89"/>
      <c r="E692" s="96"/>
      <c r="F692" s="96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</row>
    <row r="693" customFormat="false" ht="15.75" hidden="false" customHeight="false" outlineLevel="0" collapsed="false">
      <c r="A693" s="95"/>
      <c r="B693" s="95"/>
      <c r="C693" s="95"/>
      <c r="D693" s="89"/>
      <c r="E693" s="96"/>
      <c r="F693" s="96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</row>
    <row r="694" customFormat="false" ht="15.75" hidden="false" customHeight="false" outlineLevel="0" collapsed="false">
      <c r="A694" s="95"/>
      <c r="B694" s="95"/>
      <c r="C694" s="95"/>
      <c r="D694" s="89"/>
      <c r="E694" s="96"/>
      <c r="F694" s="96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</row>
    <row r="695" customFormat="false" ht="15.75" hidden="false" customHeight="false" outlineLevel="0" collapsed="false">
      <c r="A695" s="95"/>
      <c r="B695" s="95"/>
      <c r="C695" s="95"/>
      <c r="D695" s="89"/>
      <c r="E695" s="96"/>
      <c r="F695" s="96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</row>
    <row r="696" customFormat="false" ht="15.75" hidden="false" customHeight="false" outlineLevel="0" collapsed="false">
      <c r="A696" s="95"/>
      <c r="B696" s="95"/>
      <c r="C696" s="95"/>
      <c r="D696" s="89"/>
      <c r="E696" s="96"/>
      <c r="F696" s="96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</row>
    <row r="697" customFormat="false" ht="15.75" hidden="false" customHeight="false" outlineLevel="0" collapsed="false">
      <c r="A697" s="95"/>
      <c r="B697" s="95"/>
      <c r="C697" s="95"/>
      <c r="D697" s="89"/>
      <c r="E697" s="96"/>
      <c r="F697" s="96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</row>
    <row r="698" customFormat="false" ht="15.75" hidden="false" customHeight="false" outlineLevel="0" collapsed="false">
      <c r="A698" s="95"/>
      <c r="B698" s="95"/>
      <c r="C698" s="95"/>
      <c r="D698" s="89"/>
      <c r="E698" s="96"/>
      <c r="F698" s="96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</row>
    <row r="699" customFormat="false" ht="15.75" hidden="false" customHeight="false" outlineLevel="0" collapsed="false">
      <c r="A699" s="95"/>
      <c r="B699" s="95"/>
      <c r="C699" s="95"/>
      <c r="D699" s="89"/>
      <c r="E699" s="96"/>
      <c r="F699" s="96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</row>
    <row r="700" customFormat="false" ht="15.75" hidden="false" customHeight="false" outlineLevel="0" collapsed="false">
      <c r="A700" s="95"/>
      <c r="B700" s="95"/>
      <c r="C700" s="95"/>
      <c r="D700" s="89"/>
      <c r="E700" s="96"/>
      <c r="F700" s="96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</row>
    <row r="701" customFormat="false" ht="15.75" hidden="false" customHeight="false" outlineLevel="0" collapsed="false">
      <c r="A701" s="95"/>
      <c r="B701" s="95"/>
      <c r="C701" s="95"/>
      <c r="D701" s="89"/>
      <c r="E701" s="96"/>
      <c r="F701" s="96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</row>
    <row r="702" customFormat="false" ht="15.75" hidden="false" customHeight="false" outlineLevel="0" collapsed="false">
      <c r="A702" s="95"/>
      <c r="B702" s="95"/>
      <c r="C702" s="95"/>
      <c r="D702" s="89"/>
      <c r="E702" s="96"/>
      <c r="F702" s="96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</row>
    <row r="703" customFormat="false" ht="15.75" hidden="false" customHeight="false" outlineLevel="0" collapsed="false">
      <c r="A703" s="95"/>
      <c r="B703" s="95"/>
      <c r="C703" s="95"/>
      <c r="D703" s="89"/>
      <c r="E703" s="96"/>
      <c r="F703" s="96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</row>
    <row r="704" customFormat="false" ht="15.75" hidden="false" customHeight="false" outlineLevel="0" collapsed="false">
      <c r="A704" s="95"/>
      <c r="B704" s="95"/>
      <c r="C704" s="95"/>
      <c r="D704" s="89"/>
      <c r="E704" s="96"/>
      <c r="F704" s="96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</row>
    <row r="705" customFormat="false" ht="15.75" hidden="false" customHeight="false" outlineLevel="0" collapsed="false">
      <c r="A705" s="95"/>
      <c r="B705" s="95"/>
      <c r="C705" s="95"/>
      <c r="D705" s="89"/>
      <c r="E705" s="96"/>
      <c r="F705" s="96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</row>
    <row r="706" customFormat="false" ht="15.75" hidden="false" customHeight="false" outlineLevel="0" collapsed="false">
      <c r="A706" s="95"/>
      <c r="B706" s="95"/>
      <c r="C706" s="95"/>
      <c r="D706" s="89"/>
      <c r="E706" s="96"/>
      <c r="F706" s="96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</row>
    <row r="707" customFormat="false" ht="15.75" hidden="false" customHeight="false" outlineLevel="0" collapsed="false">
      <c r="A707" s="95"/>
      <c r="B707" s="95"/>
      <c r="C707" s="95"/>
      <c r="D707" s="89"/>
      <c r="E707" s="96"/>
      <c r="F707" s="96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</row>
    <row r="708" customFormat="false" ht="15.75" hidden="false" customHeight="false" outlineLevel="0" collapsed="false">
      <c r="A708" s="95"/>
      <c r="B708" s="95"/>
      <c r="C708" s="95"/>
      <c r="D708" s="89"/>
      <c r="E708" s="96"/>
      <c r="F708" s="96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</row>
    <row r="709" customFormat="false" ht="15.75" hidden="false" customHeight="false" outlineLevel="0" collapsed="false">
      <c r="A709" s="95"/>
      <c r="B709" s="95"/>
      <c r="C709" s="95"/>
      <c r="D709" s="89"/>
      <c r="E709" s="96"/>
      <c r="F709" s="96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</row>
    <row r="710" customFormat="false" ht="15.75" hidden="false" customHeight="false" outlineLevel="0" collapsed="false">
      <c r="A710" s="95"/>
      <c r="B710" s="95"/>
      <c r="C710" s="95"/>
      <c r="D710" s="89"/>
      <c r="E710" s="96"/>
      <c r="F710" s="96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</row>
    <row r="711" customFormat="false" ht="15.75" hidden="false" customHeight="false" outlineLevel="0" collapsed="false">
      <c r="A711" s="95"/>
      <c r="B711" s="95"/>
      <c r="C711" s="95"/>
      <c r="D711" s="89"/>
      <c r="E711" s="96"/>
      <c r="F711" s="96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</row>
    <row r="712" customFormat="false" ht="15.75" hidden="false" customHeight="false" outlineLevel="0" collapsed="false">
      <c r="A712" s="95"/>
      <c r="B712" s="95"/>
      <c r="C712" s="95"/>
      <c r="D712" s="89"/>
      <c r="E712" s="96"/>
      <c r="F712" s="96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</row>
    <row r="713" customFormat="false" ht="15.75" hidden="false" customHeight="false" outlineLevel="0" collapsed="false">
      <c r="A713" s="95"/>
      <c r="B713" s="95"/>
      <c r="C713" s="95"/>
      <c r="D713" s="89"/>
      <c r="E713" s="96"/>
      <c r="F713" s="96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</row>
    <row r="714" customFormat="false" ht="15.75" hidden="false" customHeight="false" outlineLevel="0" collapsed="false">
      <c r="A714" s="95"/>
      <c r="B714" s="95"/>
      <c r="C714" s="95"/>
      <c r="D714" s="89"/>
      <c r="E714" s="96"/>
      <c r="F714" s="96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</row>
    <row r="715" customFormat="false" ht="15.75" hidden="false" customHeight="false" outlineLevel="0" collapsed="false">
      <c r="A715" s="95"/>
      <c r="B715" s="95"/>
      <c r="C715" s="95"/>
      <c r="D715" s="89"/>
      <c r="E715" s="96"/>
      <c r="F715" s="96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</row>
    <row r="716" customFormat="false" ht="15.75" hidden="false" customHeight="false" outlineLevel="0" collapsed="false">
      <c r="A716" s="95"/>
      <c r="B716" s="95"/>
      <c r="C716" s="95"/>
      <c r="D716" s="89"/>
      <c r="E716" s="96"/>
      <c r="F716" s="96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</row>
    <row r="717" customFormat="false" ht="15.75" hidden="false" customHeight="false" outlineLevel="0" collapsed="false">
      <c r="A717" s="95"/>
      <c r="B717" s="95"/>
      <c r="C717" s="95"/>
      <c r="D717" s="89"/>
      <c r="E717" s="96"/>
      <c r="F717" s="96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</row>
    <row r="718" customFormat="false" ht="15.75" hidden="false" customHeight="false" outlineLevel="0" collapsed="false">
      <c r="A718" s="95"/>
      <c r="B718" s="95"/>
      <c r="C718" s="95"/>
      <c r="D718" s="89"/>
      <c r="E718" s="96"/>
      <c r="F718" s="96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</row>
    <row r="719" customFormat="false" ht="15.75" hidden="false" customHeight="false" outlineLevel="0" collapsed="false">
      <c r="A719" s="95"/>
      <c r="B719" s="95"/>
      <c r="C719" s="95"/>
      <c r="D719" s="89"/>
      <c r="E719" s="96"/>
      <c r="F719" s="96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</row>
    <row r="720" customFormat="false" ht="15.75" hidden="false" customHeight="false" outlineLevel="0" collapsed="false">
      <c r="A720" s="95"/>
      <c r="B720" s="95"/>
      <c r="C720" s="95"/>
      <c r="D720" s="89"/>
      <c r="E720" s="96"/>
      <c r="F720" s="96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</row>
    <row r="721" customFormat="false" ht="15.75" hidden="false" customHeight="false" outlineLevel="0" collapsed="false">
      <c r="A721" s="95"/>
      <c r="B721" s="95"/>
      <c r="C721" s="95"/>
      <c r="D721" s="89"/>
      <c r="E721" s="96"/>
      <c r="F721" s="96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</row>
    <row r="722" customFormat="false" ht="15.75" hidden="false" customHeight="false" outlineLevel="0" collapsed="false">
      <c r="A722" s="95"/>
      <c r="B722" s="95"/>
      <c r="C722" s="95"/>
      <c r="D722" s="89"/>
      <c r="E722" s="96"/>
      <c r="F722" s="96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</row>
    <row r="723" customFormat="false" ht="15.75" hidden="false" customHeight="false" outlineLevel="0" collapsed="false">
      <c r="A723" s="95"/>
      <c r="B723" s="95"/>
      <c r="C723" s="95"/>
      <c r="D723" s="89"/>
      <c r="E723" s="96"/>
      <c r="F723" s="96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</row>
    <row r="724" customFormat="false" ht="15.75" hidden="false" customHeight="false" outlineLevel="0" collapsed="false">
      <c r="A724" s="95"/>
      <c r="B724" s="95"/>
      <c r="C724" s="95"/>
      <c r="D724" s="89"/>
      <c r="E724" s="96"/>
      <c r="F724" s="96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</row>
    <row r="725" customFormat="false" ht="15.75" hidden="false" customHeight="false" outlineLevel="0" collapsed="false">
      <c r="A725" s="95"/>
      <c r="B725" s="95"/>
      <c r="C725" s="95"/>
      <c r="D725" s="89"/>
      <c r="E725" s="96"/>
      <c r="F725" s="96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</row>
    <row r="726" customFormat="false" ht="15.75" hidden="false" customHeight="false" outlineLevel="0" collapsed="false">
      <c r="A726" s="95"/>
      <c r="B726" s="95"/>
      <c r="C726" s="95"/>
      <c r="D726" s="89"/>
      <c r="E726" s="96"/>
      <c r="F726" s="96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</row>
    <row r="727" customFormat="false" ht="15.75" hidden="false" customHeight="false" outlineLevel="0" collapsed="false">
      <c r="A727" s="95"/>
      <c r="B727" s="95"/>
      <c r="C727" s="95"/>
      <c r="D727" s="89"/>
      <c r="E727" s="96"/>
      <c r="F727" s="96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</row>
    <row r="728" customFormat="false" ht="15.75" hidden="false" customHeight="false" outlineLevel="0" collapsed="false">
      <c r="A728" s="95"/>
      <c r="B728" s="95"/>
      <c r="C728" s="95"/>
      <c r="D728" s="89"/>
      <c r="E728" s="96"/>
      <c r="F728" s="96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</row>
    <row r="729" customFormat="false" ht="15.75" hidden="false" customHeight="false" outlineLevel="0" collapsed="false">
      <c r="A729" s="95"/>
      <c r="B729" s="95"/>
      <c r="C729" s="95"/>
      <c r="D729" s="89"/>
      <c r="E729" s="96"/>
      <c r="F729" s="96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</row>
    <row r="730" customFormat="false" ht="15.75" hidden="false" customHeight="false" outlineLevel="0" collapsed="false">
      <c r="A730" s="95"/>
      <c r="B730" s="95"/>
      <c r="C730" s="95"/>
      <c r="D730" s="89"/>
      <c r="E730" s="96"/>
      <c r="F730" s="96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</row>
    <row r="731" customFormat="false" ht="15.75" hidden="false" customHeight="false" outlineLevel="0" collapsed="false">
      <c r="A731" s="95"/>
      <c r="B731" s="95"/>
      <c r="C731" s="95"/>
      <c r="D731" s="89"/>
      <c r="E731" s="96"/>
      <c r="F731" s="96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</row>
    <row r="732" customFormat="false" ht="15.75" hidden="false" customHeight="false" outlineLevel="0" collapsed="false">
      <c r="A732" s="95"/>
      <c r="B732" s="95"/>
      <c r="C732" s="95"/>
      <c r="D732" s="89"/>
      <c r="E732" s="96"/>
      <c r="F732" s="96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</row>
    <row r="733" customFormat="false" ht="15.75" hidden="false" customHeight="false" outlineLevel="0" collapsed="false">
      <c r="A733" s="95"/>
      <c r="B733" s="95"/>
      <c r="C733" s="95"/>
      <c r="D733" s="89"/>
      <c r="E733" s="96"/>
      <c r="F733" s="96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</row>
    <row r="734" customFormat="false" ht="15.75" hidden="false" customHeight="false" outlineLevel="0" collapsed="false">
      <c r="A734" s="95"/>
      <c r="B734" s="95"/>
      <c r="C734" s="95"/>
      <c r="D734" s="89"/>
      <c r="E734" s="96"/>
      <c r="F734" s="96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</row>
    <row r="735" customFormat="false" ht="15.75" hidden="false" customHeight="false" outlineLevel="0" collapsed="false">
      <c r="A735" s="95"/>
      <c r="B735" s="95"/>
      <c r="C735" s="95"/>
      <c r="D735" s="89"/>
      <c r="E735" s="96"/>
      <c r="F735" s="96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</row>
    <row r="736" customFormat="false" ht="15.75" hidden="false" customHeight="false" outlineLevel="0" collapsed="false">
      <c r="A736" s="95"/>
      <c r="B736" s="95"/>
      <c r="C736" s="95"/>
      <c r="D736" s="89"/>
      <c r="E736" s="96"/>
      <c r="F736" s="96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</row>
    <row r="737" customFormat="false" ht="15.75" hidden="false" customHeight="false" outlineLevel="0" collapsed="false">
      <c r="A737" s="95"/>
      <c r="B737" s="95"/>
      <c r="C737" s="95"/>
      <c r="D737" s="89"/>
      <c r="E737" s="96"/>
      <c r="F737" s="96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</row>
    <row r="738" customFormat="false" ht="15.75" hidden="false" customHeight="false" outlineLevel="0" collapsed="false">
      <c r="A738" s="95"/>
      <c r="B738" s="95"/>
      <c r="C738" s="95"/>
      <c r="D738" s="89"/>
      <c r="E738" s="96"/>
      <c r="F738" s="96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</row>
    <row r="739" customFormat="false" ht="15.75" hidden="false" customHeight="false" outlineLevel="0" collapsed="false">
      <c r="A739" s="95"/>
      <c r="B739" s="95"/>
      <c r="C739" s="95"/>
      <c r="D739" s="89"/>
      <c r="E739" s="96"/>
      <c r="F739" s="96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</row>
    <row r="740" customFormat="false" ht="15.75" hidden="false" customHeight="false" outlineLevel="0" collapsed="false">
      <c r="A740" s="95"/>
      <c r="B740" s="95"/>
      <c r="C740" s="95"/>
      <c r="D740" s="89"/>
      <c r="E740" s="96"/>
      <c r="F740" s="96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</row>
    <row r="741" customFormat="false" ht="15.75" hidden="false" customHeight="false" outlineLevel="0" collapsed="false">
      <c r="A741" s="95"/>
      <c r="B741" s="95"/>
      <c r="C741" s="95"/>
      <c r="D741" s="89"/>
      <c r="E741" s="96"/>
      <c r="F741" s="96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</row>
    <row r="742" customFormat="false" ht="15.75" hidden="false" customHeight="false" outlineLevel="0" collapsed="false">
      <c r="A742" s="95"/>
      <c r="B742" s="95"/>
      <c r="C742" s="95"/>
      <c r="D742" s="89"/>
      <c r="E742" s="96"/>
      <c r="F742" s="96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</row>
    <row r="743" customFormat="false" ht="15.75" hidden="false" customHeight="false" outlineLevel="0" collapsed="false">
      <c r="A743" s="95"/>
      <c r="B743" s="95"/>
      <c r="C743" s="95"/>
      <c r="D743" s="89"/>
      <c r="E743" s="96"/>
      <c r="F743" s="96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</row>
    <row r="744" customFormat="false" ht="15.75" hidden="false" customHeight="false" outlineLevel="0" collapsed="false">
      <c r="A744" s="95"/>
      <c r="B744" s="95"/>
      <c r="C744" s="95"/>
      <c r="D744" s="89"/>
      <c r="E744" s="96"/>
      <c r="F744" s="96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</row>
    <row r="745" customFormat="false" ht="15.75" hidden="false" customHeight="false" outlineLevel="0" collapsed="false">
      <c r="A745" s="95"/>
      <c r="B745" s="95"/>
      <c r="C745" s="95"/>
      <c r="D745" s="89"/>
      <c r="E745" s="96"/>
      <c r="F745" s="96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</row>
    <row r="746" customFormat="false" ht="15.75" hidden="false" customHeight="false" outlineLevel="0" collapsed="false">
      <c r="A746" s="95"/>
      <c r="B746" s="95"/>
      <c r="C746" s="95"/>
      <c r="D746" s="89"/>
      <c r="E746" s="96"/>
      <c r="F746" s="96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</row>
    <row r="747" customFormat="false" ht="15.75" hidden="false" customHeight="false" outlineLevel="0" collapsed="false">
      <c r="A747" s="95"/>
      <c r="B747" s="95"/>
      <c r="C747" s="95"/>
      <c r="D747" s="89"/>
      <c r="E747" s="96"/>
      <c r="F747" s="96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</row>
    <row r="748" customFormat="false" ht="15.75" hidden="false" customHeight="false" outlineLevel="0" collapsed="false">
      <c r="A748" s="95"/>
      <c r="B748" s="95"/>
      <c r="C748" s="95"/>
      <c r="D748" s="89"/>
      <c r="E748" s="96"/>
      <c r="F748" s="96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</row>
    <row r="749" customFormat="false" ht="15.75" hidden="false" customHeight="false" outlineLevel="0" collapsed="false">
      <c r="A749" s="95"/>
      <c r="B749" s="95"/>
      <c r="C749" s="95"/>
      <c r="D749" s="89"/>
      <c r="E749" s="96"/>
      <c r="F749" s="96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</row>
    <row r="750" customFormat="false" ht="15.75" hidden="false" customHeight="false" outlineLevel="0" collapsed="false">
      <c r="A750" s="95"/>
      <c r="B750" s="95"/>
      <c r="C750" s="95"/>
      <c r="D750" s="89"/>
      <c r="E750" s="96"/>
      <c r="F750" s="96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</row>
    <row r="751" customFormat="false" ht="15.75" hidden="false" customHeight="false" outlineLevel="0" collapsed="false">
      <c r="A751" s="95"/>
      <c r="B751" s="95"/>
      <c r="C751" s="95"/>
      <c r="D751" s="89"/>
      <c r="E751" s="96"/>
      <c r="F751" s="96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</row>
    <row r="752" customFormat="false" ht="15.75" hidden="false" customHeight="false" outlineLevel="0" collapsed="false">
      <c r="A752" s="95"/>
      <c r="B752" s="95"/>
      <c r="C752" s="95"/>
      <c r="D752" s="89"/>
      <c r="E752" s="96"/>
      <c r="F752" s="96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</row>
    <row r="753" customFormat="false" ht="15.75" hidden="false" customHeight="false" outlineLevel="0" collapsed="false">
      <c r="A753" s="95"/>
      <c r="B753" s="95"/>
      <c r="C753" s="95"/>
      <c r="D753" s="89"/>
      <c r="E753" s="96"/>
      <c r="F753" s="96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</row>
    <row r="754" customFormat="false" ht="15.75" hidden="false" customHeight="false" outlineLevel="0" collapsed="false">
      <c r="A754" s="95"/>
      <c r="B754" s="95"/>
      <c r="C754" s="95"/>
      <c r="D754" s="89"/>
      <c r="E754" s="96"/>
      <c r="F754" s="96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</row>
    <row r="755" customFormat="false" ht="15.75" hidden="false" customHeight="false" outlineLevel="0" collapsed="false">
      <c r="A755" s="95"/>
      <c r="B755" s="95"/>
      <c r="C755" s="95"/>
      <c r="D755" s="89"/>
      <c r="E755" s="96"/>
      <c r="F755" s="96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</row>
    <row r="756" customFormat="false" ht="15.75" hidden="false" customHeight="false" outlineLevel="0" collapsed="false">
      <c r="A756" s="95"/>
      <c r="B756" s="95"/>
      <c r="C756" s="95"/>
      <c r="D756" s="89"/>
      <c r="E756" s="96"/>
      <c r="F756" s="96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</row>
    <row r="757" customFormat="false" ht="15.75" hidden="false" customHeight="false" outlineLevel="0" collapsed="false">
      <c r="A757" s="95"/>
      <c r="B757" s="95"/>
      <c r="C757" s="95"/>
      <c r="D757" s="89"/>
      <c r="E757" s="96"/>
      <c r="F757" s="96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</row>
    <row r="758" customFormat="false" ht="15.75" hidden="false" customHeight="false" outlineLevel="0" collapsed="false">
      <c r="A758" s="95"/>
      <c r="B758" s="95"/>
      <c r="C758" s="95"/>
      <c r="D758" s="89"/>
      <c r="E758" s="96"/>
      <c r="F758" s="96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</row>
    <row r="759" customFormat="false" ht="15.75" hidden="false" customHeight="false" outlineLevel="0" collapsed="false">
      <c r="A759" s="95"/>
      <c r="B759" s="95"/>
      <c r="C759" s="95"/>
      <c r="D759" s="89"/>
      <c r="E759" s="96"/>
      <c r="F759" s="96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</row>
    <row r="760" customFormat="false" ht="15.75" hidden="false" customHeight="false" outlineLevel="0" collapsed="false">
      <c r="A760" s="95"/>
      <c r="B760" s="95"/>
      <c r="C760" s="95"/>
      <c r="D760" s="89"/>
      <c r="E760" s="96"/>
      <c r="F760" s="96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</row>
    <row r="761" customFormat="false" ht="15.75" hidden="false" customHeight="false" outlineLevel="0" collapsed="false">
      <c r="A761" s="95"/>
      <c r="B761" s="95"/>
      <c r="C761" s="95"/>
      <c r="D761" s="89"/>
      <c r="E761" s="96"/>
      <c r="F761" s="96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</row>
    <row r="762" customFormat="false" ht="15.75" hidden="false" customHeight="false" outlineLevel="0" collapsed="false">
      <c r="A762" s="95"/>
      <c r="B762" s="95"/>
      <c r="C762" s="95"/>
      <c r="D762" s="89"/>
      <c r="E762" s="96"/>
      <c r="F762" s="96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</row>
    <row r="763" customFormat="false" ht="15.75" hidden="false" customHeight="false" outlineLevel="0" collapsed="false">
      <c r="A763" s="95"/>
      <c r="B763" s="95"/>
      <c r="C763" s="95"/>
      <c r="D763" s="89"/>
      <c r="E763" s="96"/>
      <c r="F763" s="96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</row>
    <row r="764" customFormat="false" ht="15.75" hidden="false" customHeight="false" outlineLevel="0" collapsed="false">
      <c r="A764" s="95"/>
      <c r="B764" s="95"/>
      <c r="C764" s="95"/>
      <c r="D764" s="89"/>
      <c r="E764" s="96"/>
      <c r="F764" s="96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</row>
    <row r="765" customFormat="false" ht="15.75" hidden="false" customHeight="false" outlineLevel="0" collapsed="false">
      <c r="A765" s="95"/>
      <c r="B765" s="95"/>
      <c r="C765" s="95"/>
      <c r="D765" s="89"/>
      <c r="E765" s="96"/>
      <c r="F765" s="96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</row>
    <row r="766" customFormat="false" ht="15.75" hidden="false" customHeight="false" outlineLevel="0" collapsed="false">
      <c r="A766" s="95"/>
      <c r="B766" s="95"/>
      <c r="C766" s="95"/>
      <c r="D766" s="89"/>
      <c r="E766" s="96"/>
      <c r="F766" s="96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</row>
    <row r="767" customFormat="false" ht="15.75" hidden="false" customHeight="false" outlineLevel="0" collapsed="false">
      <c r="A767" s="95"/>
      <c r="B767" s="95"/>
      <c r="C767" s="95"/>
      <c r="D767" s="89"/>
      <c r="E767" s="96"/>
      <c r="F767" s="96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</row>
    <row r="768" customFormat="false" ht="15.75" hidden="false" customHeight="false" outlineLevel="0" collapsed="false">
      <c r="A768" s="95"/>
      <c r="B768" s="95"/>
      <c r="C768" s="95"/>
      <c r="D768" s="89"/>
      <c r="E768" s="96"/>
      <c r="F768" s="96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</row>
    <row r="769" customFormat="false" ht="15.75" hidden="false" customHeight="false" outlineLevel="0" collapsed="false">
      <c r="A769" s="95"/>
      <c r="B769" s="95"/>
      <c r="C769" s="95"/>
      <c r="D769" s="89"/>
      <c r="E769" s="96"/>
      <c r="F769" s="96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</row>
    <row r="770" customFormat="false" ht="15.75" hidden="false" customHeight="false" outlineLevel="0" collapsed="false">
      <c r="A770" s="95"/>
      <c r="B770" s="95"/>
      <c r="C770" s="95"/>
      <c r="D770" s="89"/>
      <c r="E770" s="96"/>
      <c r="F770" s="96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</row>
    <row r="771" customFormat="false" ht="15.75" hidden="false" customHeight="false" outlineLevel="0" collapsed="false">
      <c r="A771" s="95"/>
      <c r="B771" s="95"/>
      <c r="C771" s="95"/>
      <c r="D771" s="89"/>
      <c r="E771" s="96"/>
      <c r="F771" s="96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</row>
    <row r="772" customFormat="false" ht="15.75" hidden="false" customHeight="false" outlineLevel="0" collapsed="false">
      <c r="A772" s="95"/>
      <c r="B772" s="95"/>
      <c r="C772" s="95"/>
      <c r="D772" s="89"/>
      <c r="E772" s="96"/>
      <c r="F772" s="96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</row>
    <row r="773" customFormat="false" ht="15.75" hidden="false" customHeight="false" outlineLevel="0" collapsed="false">
      <c r="A773" s="95"/>
      <c r="B773" s="95"/>
      <c r="C773" s="95"/>
      <c r="D773" s="89"/>
      <c r="E773" s="96"/>
      <c r="F773" s="96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</row>
    <row r="774" customFormat="false" ht="15.75" hidden="false" customHeight="false" outlineLevel="0" collapsed="false">
      <c r="A774" s="95"/>
      <c r="B774" s="95"/>
      <c r="C774" s="95"/>
      <c r="D774" s="89"/>
      <c r="E774" s="96"/>
      <c r="F774" s="96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</row>
    <row r="775" customFormat="false" ht="15.75" hidden="false" customHeight="false" outlineLevel="0" collapsed="false">
      <c r="A775" s="95"/>
      <c r="B775" s="95"/>
      <c r="C775" s="95"/>
      <c r="D775" s="89"/>
      <c r="E775" s="96"/>
      <c r="F775" s="96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</row>
    <row r="776" customFormat="false" ht="15.75" hidden="false" customHeight="false" outlineLevel="0" collapsed="false">
      <c r="A776" s="95"/>
      <c r="B776" s="95"/>
      <c r="C776" s="95"/>
      <c r="D776" s="89"/>
      <c r="E776" s="96"/>
      <c r="F776" s="96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</row>
    <row r="777" customFormat="false" ht="15.75" hidden="false" customHeight="false" outlineLevel="0" collapsed="false">
      <c r="A777" s="95"/>
      <c r="B777" s="95"/>
      <c r="C777" s="95"/>
      <c r="D777" s="89"/>
      <c r="E777" s="96"/>
      <c r="F777" s="96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</row>
    <row r="778" customFormat="false" ht="15.75" hidden="false" customHeight="false" outlineLevel="0" collapsed="false">
      <c r="A778" s="95"/>
      <c r="B778" s="95"/>
      <c r="C778" s="95"/>
      <c r="D778" s="89"/>
      <c r="E778" s="96"/>
      <c r="F778" s="96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</row>
    <row r="779" customFormat="false" ht="15.75" hidden="false" customHeight="false" outlineLevel="0" collapsed="false">
      <c r="A779" s="95"/>
      <c r="B779" s="95"/>
      <c r="C779" s="95"/>
      <c r="D779" s="89"/>
      <c r="E779" s="96"/>
      <c r="F779" s="96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</row>
    <row r="780" customFormat="false" ht="15.75" hidden="false" customHeight="false" outlineLevel="0" collapsed="false">
      <c r="A780" s="95"/>
      <c r="B780" s="95"/>
      <c r="C780" s="95"/>
      <c r="D780" s="89"/>
      <c r="E780" s="96"/>
      <c r="F780" s="96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</row>
    <row r="781" customFormat="false" ht="15.75" hidden="false" customHeight="false" outlineLevel="0" collapsed="false">
      <c r="A781" s="95"/>
      <c r="B781" s="95"/>
      <c r="C781" s="95"/>
      <c r="D781" s="89"/>
      <c r="E781" s="96"/>
      <c r="F781" s="96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</row>
    <row r="782" customFormat="false" ht="15.75" hidden="false" customHeight="false" outlineLevel="0" collapsed="false">
      <c r="A782" s="95"/>
      <c r="B782" s="95"/>
      <c r="C782" s="95"/>
      <c r="D782" s="89"/>
      <c r="E782" s="96"/>
      <c r="F782" s="96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</row>
    <row r="783" customFormat="false" ht="15.75" hidden="false" customHeight="false" outlineLevel="0" collapsed="false">
      <c r="A783" s="95"/>
      <c r="B783" s="95"/>
      <c r="C783" s="95"/>
      <c r="D783" s="89"/>
      <c r="E783" s="96"/>
      <c r="F783" s="96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</row>
    <row r="784" customFormat="false" ht="15.75" hidden="false" customHeight="false" outlineLevel="0" collapsed="false">
      <c r="A784" s="95"/>
      <c r="B784" s="95"/>
      <c r="C784" s="95"/>
      <c r="D784" s="89"/>
      <c r="E784" s="96"/>
      <c r="F784" s="96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</row>
    <row r="785" customFormat="false" ht="15.75" hidden="false" customHeight="false" outlineLevel="0" collapsed="false">
      <c r="A785" s="95"/>
      <c r="B785" s="95"/>
      <c r="C785" s="95"/>
      <c r="D785" s="89"/>
      <c r="E785" s="96"/>
      <c r="F785" s="96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</row>
    <row r="786" customFormat="false" ht="15.75" hidden="false" customHeight="false" outlineLevel="0" collapsed="false">
      <c r="A786" s="95"/>
      <c r="B786" s="95"/>
      <c r="C786" s="95"/>
      <c r="D786" s="89"/>
      <c r="E786" s="96"/>
      <c r="F786" s="96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</row>
    <row r="787" customFormat="false" ht="15.75" hidden="false" customHeight="false" outlineLevel="0" collapsed="false">
      <c r="A787" s="95"/>
      <c r="B787" s="95"/>
      <c r="C787" s="95"/>
      <c r="D787" s="89"/>
      <c r="E787" s="96"/>
      <c r="F787" s="96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</row>
    <row r="788" customFormat="false" ht="15.75" hidden="false" customHeight="false" outlineLevel="0" collapsed="false">
      <c r="A788" s="95"/>
      <c r="B788" s="95"/>
      <c r="C788" s="95"/>
      <c r="D788" s="89"/>
      <c r="E788" s="96"/>
      <c r="F788" s="96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</row>
    <row r="789" customFormat="false" ht="15.75" hidden="false" customHeight="false" outlineLevel="0" collapsed="false">
      <c r="A789" s="95"/>
      <c r="B789" s="95"/>
      <c r="C789" s="95"/>
      <c r="D789" s="89"/>
      <c r="E789" s="96"/>
      <c r="F789" s="96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</row>
    <row r="790" customFormat="false" ht="15.75" hidden="false" customHeight="false" outlineLevel="0" collapsed="false">
      <c r="A790" s="95"/>
      <c r="B790" s="95"/>
      <c r="C790" s="95"/>
      <c r="D790" s="89"/>
      <c r="E790" s="96"/>
      <c r="F790" s="96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</row>
    <row r="791" customFormat="false" ht="15.75" hidden="false" customHeight="false" outlineLevel="0" collapsed="false">
      <c r="A791" s="95"/>
      <c r="B791" s="95"/>
      <c r="C791" s="95"/>
      <c r="D791" s="89"/>
      <c r="E791" s="96"/>
      <c r="F791" s="96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</row>
    <row r="792" customFormat="false" ht="15.75" hidden="false" customHeight="false" outlineLevel="0" collapsed="false">
      <c r="A792" s="95"/>
      <c r="B792" s="95"/>
      <c r="C792" s="95"/>
      <c r="D792" s="89"/>
      <c r="E792" s="96"/>
      <c r="F792" s="96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</row>
    <row r="793" customFormat="false" ht="15.75" hidden="false" customHeight="false" outlineLevel="0" collapsed="false">
      <c r="A793" s="95"/>
      <c r="B793" s="95"/>
      <c r="C793" s="95"/>
      <c r="D793" s="89"/>
      <c r="E793" s="96"/>
      <c r="F793" s="96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</row>
    <row r="794" customFormat="false" ht="15.75" hidden="false" customHeight="false" outlineLevel="0" collapsed="false">
      <c r="A794" s="95"/>
      <c r="B794" s="95"/>
      <c r="C794" s="95"/>
      <c r="D794" s="89"/>
      <c r="E794" s="96"/>
      <c r="F794" s="96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</row>
    <row r="795" customFormat="false" ht="15.75" hidden="false" customHeight="false" outlineLevel="0" collapsed="false">
      <c r="A795" s="95"/>
      <c r="B795" s="95"/>
      <c r="C795" s="95"/>
      <c r="D795" s="89"/>
      <c r="E795" s="96"/>
      <c r="F795" s="96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</row>
    <row r="796" customFormat="false" ht="15.75" hidden="false" customHeight="false" outlineLevel="0" collapsed="false">
      <c r="A796" s="95"/>
      <c r="B796" s="95"/>
      <c r="C796" s="95"/>
      <c r="D796" s="89"/>
      <c r="E796" s="96"/>
      <c r="F796" s="96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</row>
    <row r="797" customFormat="false" ht="15.75" hidden="false" customHeight="false" outlineLevel="0" collapsed="false">
      <c r="A797" s="95"/>
      <c r="B797" s="95"/>
      <c r="C797" s="95"/>
      <c r="D797" s="89"/>
      <c r="E797" s="96"/>
      <c r="F797" s="96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</row>
    <row r="798" customFormat="false" ht="15.75" hidden="false" customHeight="false" outlineLevel="0" collapsed="false">
      <c r="A798" s="95"/>
      <c r="B798" s="95"/>
      <c r="C798" s="95"/>
      <c r="D798" s="89"/>
      <c r="E798" s="96"/>
      <c r="F798" s="96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</row>
    <row r="799" customFormat="false" ht="15.75" hidden="false" customHeight="false" outlineLevel="0" collapsed="false">
      <c r="A799" s="95"/>
      <c r="B799" s="95"/>
      <c r="C799" s="95"/>
      <c r="D799" s="89"/>
      <c r="E799" s="96"/>
      <c r="F799" s="96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</row>
    <row r="800" customFormat="false" ht="15.75" hidden="false" customHeight="false" outlineLevel="0" collapsed="false">
      <c r="A800" s="95"/>
      <c r="B800" s="95"/>
      <c r="C800" s="95"/>
      <c r="D800" s="89"/>
      <c r="E800" s="96"/>
      <c r="F800" s="96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</row>
    <row r="801" customFormat="false" ht="15.75" hidden="false" customHeight="false" outlineLevel="0" collapsed="false">
      <c r="A801" s="95"/>
      <c r="B801" s="95"/>
      <c r="C801" s="95"/>
      <c r="D801" s="89"/>
      <c r="E801" s="96"/>
      <c r="F801" s="96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</row>
    <row r="802" customFormat="false" ht="15.75" hidden="false" customHeight="false" outlineLevel="0" collapsed="false">
      <c r="A802" s="95"/>
      <c r="B802" s="95"/>
      <c r="C802" s="95"/>
      <c r="D802" s="89"/>
      <c r="E802" s="96"/>
      <c r="F802" s="96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</row>
    <row r="803" customFormat="false" ht="15.75" hidden="false" customHeight="false" outlineLevel="0" collapsed="false">
      <c r="A803" s="95"/>
      <c r="B803" s="95"/>
      <c r="C803" s="95"/>
      <c r="D803" s="89"/>
      <c r="E803" s="96"/>
      <c r="F803" s="96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</row>
    <row r="804" customFormat="false" ht="15.75" hidden="false" customHeight="false" outlineLevel="0" collapsed="false">
      <c r="A804" s="95"/>
      <c r="B804" s="95"/>
      <c r="C804" s="95"/>
      <c r="D804" s="89"/>
      <c r="E804" s="96"/>
      <c r="F804" s="96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</row>
    <row r="805" customFormat="false" ht="15.75" hidden="false" customHeight="false" outlineLevel="0" collapsed="false">
      <c r="A805" s="95"/>
      <c r="B805" s="95"/>
      <c r="C805" s="95"/>
      <c r="D805" s="89"/>
      <c r="E805" s="96"/>
      <c r="F805" s="96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</row>
    <row r="806" customFormat="false" ht="15.75" hidden="false" customHeight="false" outlineLevel="0" collapsed="false">
      <c r="A806" s="95"/>
      <c r="B806" s="95"/>
      <c r="C806" s="95"/>
      <c r="D806" s="89"/>
      <c r="E806" s="96"/>
      <c r="F806" s="96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</row>
    <row r="807" customFormat="false" ht="15.75" hidden="false" customHeight="false" outlineLevel="0" collapsed="false">
      <c r="A807" s="95"/>
      <c r="B807" s="95"/>
      <c r="C807" s="95"/>
      <c r="D807" s="89"/>
      <c r="E807" s="96"/>
      <c r="F807" s="96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</row>
    <row r="808" customFormat="false" ht="15.75" hidden="false" customHeight="false" outlineLevel="0" collapsed="false">
      <c r="A808" s="95"/>
      <c r="B808" s="95"/>
      <c r="C808" s="95"/>
      <c r="D808" s="89"/>
      <c r="E808" s="96"/>
      <c r="F808" s="96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</row>
    <row r="809" customFormat="false" ht="15.75" hidden="false" customHeight="false" outlineLevel="0" collapsed="false">
      <c r="A809" s="95"/>
      <c r="B809" s="95"/>
      <c r="C809" s="95"/>
      <c r="D809" s="89"/>
      <c r="E809" s="96"/>
      <c r="F809" s="96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</row>
    <row r="810" customFormat="false" ht="15.75" hidden="false" customHeight="false" outlineLevel="0" collapsed="false">
      <c r="A810" s="95"/>
      <c r="B810" s="95"/>
      <c r="C810" s="95"/>
      <c r="D810" s="89"/>
      <c r="E810" s="96"/>
      <c r="F810" s="96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</row>
    <row r="811" customFormat="false" ht="15.75" hidden="false" customHeight="false" outlineLevel="0" collapsed="false">
      <c r="A811" s="95"/>
      <c r="B811" s="95"/>
      <c r="C811" s="95"/>
      <c r="D811" s="89"/>
      <c r="E811" s="96"/>
      <c r="F811" s="96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</row>
    <row r="812" customFormat="false" ht="15.75" hidden="false" customHeight="false" outlineLevel="0" collapsed="false">
      <c r="A812" s="95"/>
      <c r="B812" s="95"/>
      <c r="C812" s="95"/>
      <c r="D812" s="89"/>
      <c r="E812" s="96"/>
      <c r="F812" s="96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</row>
    <row r="813" customFormat="false" ht="15.75" hidden="false" customHeight="false" outlineLevel="0" collapsed="false">
      <c r="A813" s="95"/>
      <c r="B813" s="95"/>
      <c r="C813" s="95"/>
      <c r="D813" s="89"/>
      <c r="E813" s="96"/>
      <c r="F813" s="96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</row>
    <row r="814" customFormat="false" ht="15.75" hidden="false" customHeight="false" outlineLevel="0" collapsed="false">
      <c r="A814" s="95"/>
      <c r="B814" s="95"/>
      <c r="C814" s="95"/>
      <c r="D814" s="89"/>
      <c r="E814" s="96"/>
      <c r="F814" s="96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</row>
    <row r="815" customFormat="false" ht="15.75" hidden="false" customHeight="false" outlineLevel="0" collapsed="false">
      <c r="A815" s="95"/>
      <c r="B815" s="95"/>
      <c r="C815" s="95"/>
      <c r="D815" s="89"/>
      <c r="E815" s="96"/>
      <c r="F815" s="96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</row>
    <row r="816" customFormat="false" ht="15.75" hidden="false" customHeight="false" outlineLevel="0" collapsed="false">
      <c r="A816" s="95"/>
      <c r="B816" s="95"/>
      <c r="C816" s="95"/>
      <c r="D816" s="89"/>
      <c r="E816" s="96"/>
      <c r="F816" s="96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</row>
    <row r="817" customFormat="false" ht="15.75" hidden="false" customHeight="false" outlineLevel="0" collapsed="false">
      <c r="A817" s="95"/>
      <c r="B817" s="95"/>
      <c r="C817" s="95"/>
      <c r="D817" s="89"/>
      <c r="E817" s="96"/>
      <c r="F817" s="96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</row>
    <row r="818" customFormat="false" ht="15.75" hidden="false" customHeight="false" outlineLevel="0" collapsed="false">
      <c r="A818" s="95"/>
      <c r="B818" s="95"/>
      <c r="C818" s="95"/>
      <c r="D818" s="89"/>
      <c r="E818" s="96"/>
      <c r="F818" s="96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</row>
    <row r="819" customFormat="false" ht="15.75" hidden="false" customHeight="false" outlineLevel="0" collapsed="false">
      <c r="A819" s="95"/>
      <c r="B819" s="95"/>
      <c r="C819" s="95"/>
      <c r="D819" s="89"/>
      <c r="E819" s="96"/>
      <c r="F819" s="96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</row>
    <row r="820" customFormat="false" ht="15.75" hidden="false" customHeight="false" outlineLevel="0" collapsed="false">
      <c r="A820" s="95"/>
      <c r="B820" s="95"/>
      <c r="C820" s="95"/>
      <c r="D820" s="89"/>
      <c r="E820" s="96"/>
      <c r="F820" s="96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</row>
    <row r="821" customFormat="false" ht="15.75" hidden="false" customHeight="false" outlineLevel="0" collapsed="false">
      <c r="A821" s="95"/>
      <c r="B821" s="95"/>
      <c r="C821" s="95"/>
      <c r="D821" s="89"/>
      <c r="E821" s="96"/>
      <c r="F821" s="96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</row>
    <row r="822" customFormat="false" ht="15.75" hidden="false" customHeight="false" outlineLevel="0" collapsed="false">
      <c r="A822" s="95"/>
      <c r="B822" s="95"/>
      <c r="C822" s="95"/>
      <c r="D822" s="89"/>
      <c r="E822" s="96"/>
      <c r="F822" s="96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</row>
    <row r="823" customFormat="false" ht="15.75" hidden="false" customHeight="false" outlineLevel="0" collapsed="false">
      <c r="A823" s="95"/>
      <c r="B823" s="95"/>
      <c r="C823" s="95"/>
      <c r="D823" s="89"/>
      <c r="E823" s="96"/>
      <c r="F823" s="96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</row>
    <row r="824" customFormat="false" ht="15.75" hidden="false" customHeight="false" outlineLevel="0" collapsed="false">
      <c r="A824" s="95"/>
      <c r="B824" s="95"/>
      <c r="C824" s="95"/>
      <c r="D824" s="89"/>
      <c r="E824" s="96"/>
      <c r="F824" s="96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</row>
    <row r="825" customFormat="false" ht="15.75" hidden="false" customHeight="false" outlineLevel="0" collapsed="false">
      <c r="A825" s="95"/>
      <c r="B825" s="95"/>
      <c r="C825" s="95"/>
      <c r="D825" s="89"/>
      <c r="E825" s="96"/>
      <c r="F825" s="96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</row>
    <row r="826" customFormat="false" ht="15.75" hidden="false" customHeight="false" outlineLevel="0" collapsed="false">
      <c r="A826" s="95"/>
      <c r="B826" s="95"/>
      <c r="C826" s="95"/>
      <c r="D826" s="89"/>
      <c r="E826" s="96"/>
      <c r="F826" s="96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</row>
    <row r="827" customFormat="false" ht="15.75" hidden="false" customHeight="false" outlineLevel="0" collapsed="false">
      <c r="A827" s="95"/>
      <c r="B827" s="95"/>
      <c r="C827" s="95"/>
      <c r="D827" s="89"/>
      <c r="E827" s="96"/>
      <c r="F827" s="96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</row>
    <row r="828" customFormat="false" ht="15.75" hidden="false" customHeight="false" outlineLevel="0" collapsed="false">
      <c r="A828" s="95"/>
      <c r="B828" s="95"/>
      <c r="C828" s="95"/>
      <c r="D828" s="89"/>
      <c r="E828" s="96"/>
      <c r="F828" s="96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</row>
    <row r="829" customFormat="false" ht="15.75" hidden="false" customHeight="false" outlineLevel="0" collapsed="false">
      <c r="A829" s="95"/>
      <c r="B829" s="95"/>
      <c r="C829" s="95"/>
      <c r="D829" s="89"/>
      <c r="E829" s="96"/>
      <c r="F829" s="96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</row>
    <row r="830" customFormat="false" ht="15.75" hidden="false" customHeight="false" outlineLevel="0" collapsed="false">
      <c r="A830" s="95"/>
      <c r="B830" s="95"/>
      <c r="C830" s="95"/>
      <c r="D830" s="89"/>
      <c r="E830" s="96"/>
      <c r="F830" s="96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</row>
    <row r="831" customFormat="false" ht="15.75" hidden="false" customHeight="false" outlineLevel="0" collapsed="false">
      <c r="A831" s="95"/>
      <c r="B831" s="95"/>
      <c r="C831" s="95"/>
      <c r="D831" s="89"/>
      <c r="E831" s="96"/>
      <c r="F831" s="96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</row>
    <row r="832" customFormat="false" ht="15.75" hidden="false" customHeight="false" outlineLevel="0" collapsed="false">
      <c r="A832" s="95"/>
      <c r="B832" s="95"/>
      <c r="C832" s="95"/>
      <c r="D832" s="89"/>
      <c r="E832" s="96"/>
      <c r="F832" s="96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</row>
    <row r="833" customFormat="false" ht="15.75" hidden="false" customHeight="false" outlineLevel="0" collapsed="false">
      <c r="A833" s="95"/>
      <c r="B833" s="95"/>
      <c r="C833" s="95"/>
      <c r="D833" s="89"/>
      <c r="E833" s="96"/>
      <c r="F833" s="96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</row>
    <row r="834" customFormat="false" ht="15.75" hidden="false" customHeight="false" outlineLevel="0" collapsed="false">
      <c r="A834" s="95"/>
      <c r="B834" s="95"/>
      <c r="C834" s="95"/>
      <c r="D834" s="89"/>
      <c r="E834" s="96"/>
      <c r="F834" s="96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</row>
    <row r="835" customFormat="false" ht="15.75" hidden="false" customHeight="false" outlineLevel="0" collapsed="false">
      <c r="A835" s="95"/>
      <c r="B835" s="95"/>
      <c r="C835" s="95"/>
      <c r="D835" s="89"/>
      <c r="E835" s="96"/>
      <c r="F835" s="96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</row>
    <row r="836" customFormat="false" ht="15.75" hidden="false" customHeight="false" outlineLevel="0" collapsed="false">
      <c r="A836" s="95"/>
      <c r="B836" s="95"/>
      <c r="C836" s="95"/>
      <c r="D836" s="89"/>
      <c r="E836" s="96"/>
      <c r="F836" s="96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</row>
    <row r="837" customFormat="false" ht="15.75" hidden="false" customHeight="false" outlineLevel="0" collapsed="false">
      <c r="A837" s="95"/>
      <c r="B837" s="95"/>
      <c r="C837" s="95"/>
      <c r="D837" s="89"/>
      <c r="E837" s="96"/>
      <c r="F837" s="96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</row>
    <row r="838" customFormat="false" ht="15.75" hidden="false" customHeight="false" outlineLevel="0" collapsed="false">
      <c r="A838" s="95"/>
      <c r="B838" s="95"/>
      <c r="C838" s="95"/>
      <c r="D838" s="89"/>
      <c r="E838" s="96"/>
      <c r="F838" s="96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</row>
    <row r="839" customFormat="false" ht="15.75" hidden="false" customHeight="false" outlineLevel="0" collapsed="false">
      <c r="A839" s="95"/>
      <c r="B839" s="95"/>
      <c r="C839" s="95"/>
      <c r="D839" s="89"/>
      <c r="E839" s="96"/>
      <c r="F839" s="96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</row>
    <row r="840" customFormat="false" ht="15.75" hidden="false" customHeight="false" outlineLevel="0" collapsed="false">
      <c r="A840" s="95"/>
      <c r="B840" s="95"/>
      <c r="C840" s="95"/>
      <c r="D840" s="89"/>
      <c r="E840" s="96"/>
      <c r="F840" s="96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</row>
    <row r="841" customFormat="false" ht="15.75" hidden="false" customHeight="false" outlineLevel="0" collapsed="false">
      <c r="A841" s="95"/>
      <c r="B841" s="95"/>
      <c r="C841" s="95"/>
      <c r="D841" s="89"/>
      <c r="E841" s="96"/>
      <c r="F841" s="96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</row>
    <row r="842" customFormat="false" ht="15.75" hidden="false" customHeight="false" outlineLevel="0" collapsed="false">
      <c r="A842" s="95"/>
      <c r="B842" s="95"/>
      <c r="C842" s="95"/>
      <c r="D842" s="89"/>
      <c r="E842" s="96"/>
      <c r="F842" s="96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</row>
    <row r="843" customFormat="false" ht="15.75" hidden="false" customHeight="false" outlineLevel="0" collapsed="false">
      <c r="A843" s="95"/>
      <c r="B843" s="95"/>
      <c r="C843" s="95"/>
      <c r="D843" s="89"/>
      <c r="E843" s="96"/>
      <c r="F843" s="96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</row>
    <row r="844" customFormat="false" ht="15.75" hidden="false" customHeight="false" outlineLevel="0" collapsed="false">
      <c r="A844" s="95"/>
      <c r="B844" s="95"/>
      <c r="C844" s="95"/>
      <c r="D844" s="89"/>
      <c r="E844" s="96"/>
      <c r="F844" s="96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</row>
    <row r="845" customFormat="false" ht="15.75" hidden="false" customHeight="false" outlineLevel="0" collapsed="false">
      <c r="A845" s="95"/>
      <c r="B845" s="95"/>
      <c r="C845" s="95"/>
      <c r="D845" s="89"/>
      <c r="E845" s="96"/>
      <c r="F845" s="96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</row>
    <row r="846" customFormat="false" ht="15.75" hidden="false" customHeight="false" outlineLevel="0" collapsed="false">
      <c r="A846" s="95"/>
      <c r="B846" s="95"/>
      <c r="C846" s="95"/>
      <c r="D846" s="89"/>
      <c r="E846" s="96"/>
      <c r="F846" s="96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</row>
    <row r="847" customFormat="false" ht="15.75" hidden="false" customHeight="false" outlineLevel="0" collapsed="false">
      <c r="A847" s="95"/>
      <c r="B847" s="95"/>
      <c r="C847" s="95"/>
      <c r="D847" s="89"/>
      <c r="E847" s="96"/>
      <c r="F847" s="96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</row>
    <row r="848" customFormat="false" ht="15.75" hidden="false" customHeight="false" outlineLevel="0" collapsed="false">
      <c r="A848" s="95"/>
      <c r="B848" s="95"/>
      <c r="C848" s="95"/>
      <c r="D848" s="89"/>
      <c r="E848" s="96"/>
      <c r="F848" s="96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</row>
    <row r="849" customFormat="false" ht="15.75" hidden="false" customHeight="false" outlineLevel="0" collapsed="false">
      <c r="A849" s="95"/>
      <c r="B849" s="95"/>
      <c r="C849" s="95"/>
      <c r="D849" s="89"/>
      <c r="E849" s="96"/>
      <c r="F849" s="96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</row>
    <row r="850" customFormat="false" ht="15.75" hidden="false" customHeight="false" outlineLevel="0" collapsed="false">
      <c r="A850" s="95"/>
      <c r="B850" s="95"/>
      <c r="C850" s="95"/>
      <c r="D850" s="89"/>
      <c r="E850" s="96"/>
      <c r="F850" s="96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</row>
    <row r="851" customFormat="false" ht="15.75" hidden="false" customHeight="false" outlineLevel="0" collapsed="false">
      <c r="A851" s="95"/>
      <c r="B851" s="95"/>
      <c r="C851" s="95"/>
      <c r="D851" s="89"/>
      <c r="E851" s="96"/>
      <c r="F851" s="96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</row>
    <row r="852" customFormat="false" ht="15.75" hidden="false" customHeight="false" outlineLevel="0" collapsed="false">
      <c r="A852" s="95"/>
      <c r="B852" s="95"/>
      <c r="C852" s="95"/>
      <c r="D852" s="89"/>
      <c r="E852" s="96"/>
      <c r="F852" s="96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</row>
    <row r="853" customFormat="false" ht="15.75" hidden="false" customHeight="false" outlineLevel="0" collapsed="false">
      <c r="A853" s="95"/>
      <c r="B853" s="95"/>
      <c r="C853" s="95"/>
      <c r="D853" s="89"/>
      <c r="E853" s="96"/>
      <c r="F853" s="96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</row>
    <row r="854" customFormat="false" ht="15.75" hidden="false" customHeight="false" outlineLevel="0" collapsed="false">
      <c r="A854" s="95"/>
      <c r="B854" s="95"/>
      <c r="C854" s="95"/>
      <c r="D854" s="89"/>
      <c r="E854" s="96"/>
      <c r="F854" s="96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</row>
    <row r="855" customFormat="false" ht="15.75" hidden="false" customHeight="false" outlineLevel="0" collapsed="false">
      <c r="A855" s="95"/>
      <c r="B855" s="95"/>
      <c r="C855" s="95"/>
      <c r="D855" s="89"/>
      <c r="E855" s="96"/>
      <c r="F855" s="96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</row>
    <row r="856" customFormat="false" ht="15.75" hidden="false" customHeight="false" outlineLevel="0" collapsed="false">
      <c r="A856" s="95"/>
      <c r="B856" s="95"/>
      <c r="C856" s="95"/>
      <c r="D856" s="89"/>
      <c r="E856" s="96"/>
      <c r="F856" s="96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</row>
    <row r="857" customFormat="false" ht="15.75" hidden="false" customHeight="false" outlineLevel="0" collapsed="false">
      <c r="A857" s="95"/>
      <c r="B857" s="95"/>
      <c r="C857" s="95"/>
      <c r="D857" s="89"/>
      <c r="E857" s="96"/>
      <c r="F857" s="96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</row>
    <row r="858" customFormat="false" ht="15.75" hidden="false" customHeight="false" outlineLevel="0" collapsed="false">
      <c r="A858" s="95"/>
      <c r="B858" s="95"/>
      <c r="C858" s="95"/>
      <c r="D858" s="89"/>
      <c r="E858" s="96"/>
      <c r="F858" s="96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</row>
    <row r="859" customFormat="false" ht="15.75" hidden="false" customHeight="false" outlineLevel="0" collapsed="false">
      <c r="A859" s="95"/>
      <c r="B859" s="95"/>
      <c r="C859" s="95"/>
      <c r="D859" s="89"/>
      <c r="E859" s="96"/>
      <c r="F859" s="96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</row>
    <row r="860" customFormat="false" ht="15.75" hidden="false" customHeight="false" outlineLevel="0" collapsed="false">
      <c r="A860" s="95"/>
      <c r="B860" s="95"/>
      <c r="C860" s="95"/>
      <c r="D860" s="89"/>
      <c r="E860" s="96"/>
      <c r="F860" s="96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</row>
    <row r="861" customFormat="false" ht="15.75" hidden="false" customHeight="false" outlineLevel="0" collapsed="false">
      <c r="A861" s="95"/>
      <c r="B861" s="95"/>
      <c r="C861" s="95"/>
      <c r="D861" s="89"/>
      <c r="E861" s="96"/>
      <c r="F861" s="96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</row>
    <row r="862" customFormat="false" ht="15.75" hidden="false" customHeight="false" outlineLevel="0" collapsed="false">
      <c r="A862" s="95"/>
      <c r="B862" s="95"/>
      <c r="C862" s="95"/>
      <c r="D862" s="89"/>
      <c r="E862" s="96"/>
      <c r="F862" s="96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</row>
    <row r="863" customFormat="false" ht="15.75" hidden="false" customHeight="false" outlineLevel="0" collapsed="false">
      <c r="A863" s="95"/>
      <c r="B863" s="95"/>
      <c r="C863" s="95"/>
      <c r="D863" s="89"/>
      <c r="E863" s="96"/>
      <c r="F863" s="96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</row>
    <row r="864" customFormat="false" ht="15.75" hidden="false" customHeight="false" outlineLevel="0" collapsed="false">
      <c r="A864" s="95"/>
      <c r="B864" s="95"/>
      <c r="C864" s="95"/>
      <c r="D864" s="89"/>
      <c r="E864" s="96"/>
      <c r="F864" s="96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</row>
    <row r="865" customFormat="false" ht="15.75" hidden="false" customHeight="false" outlineLevel="0" collapsed="false">
      <c r="A865" s="95"/>
      <c r="B865" s="95"/>
      <c r="C865" s="95"/>
      <c r="D865" s="89"/>
      <c r="E865" s="96"/>
      <c r="F865" s="96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</row>
    <row r="866" customFormat="false" ht="15.75" hidden="false" customHeight="false" outlineLevel="0" collapsed="false">
      <c r="A866" s="95"/>
      <c r="B866" s="95"/>
      <c r="C866" s="95"/>
      <c r="D866" s="89"/>
      <c r="E866" s="96"/>
      <c r="F866" s="96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</row>
    <row r="867" customFormat="false" ht="15.75" hidden="false" customHeight="false" outlineLevel="0" collapsed="false">
      <c r="A867" s="95"/>
      <c r="B867" s="95"/>
      <c r="C867" s="95"/>
      <c r="D867" s="89"/>
      <c r="E867" s="96"/>
      <c r="F867" s="96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</row>
    <row r="868" customFormat="false" ht="15.75" hidden="false" customHeight="false" outlineLevel="0" collapsed="false">
      <c r="A868" s="95"/>
      <c r="B868" s="95"/>
      <c r="C868" s="95"/>
      <c r="D868" s="89"/>
      <c r="E868" s="96"/>
      <c r="F868" s="96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</row>
    <row r="869" customFormat="false" ht="15.75" hidden="false" customHeight="false" outlineLevel="0" collapsed="false">
      <c r="A869" s="95"/>
      <c r="B869" s="95"/>
      <c r="C869" s="95"/>
      <c r="D869" s="89"/>
      <c r="E869" s="96"/>
      <c r="F869" s="96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</row>
    <row r="870" customFormat="false" ht="15.75" hidden="false" customHeight="false" outlineLevel="0" collapsed="false">
      <c r="A870" s="95"/>
      <c r="B870" s="95"/>
      <c r="C870" s="95"/>
      <c r="D870" s="89"/>
      <c r="E870" s="96"/>
      <c r="F870" s="96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</row>
    <row r="871" customFormat="false" ht="15.75" hidden="false" customHeight="false" outlineLevel="0" collapsed="false">
      <c r="A871" s="95"/>
      <c r="B871" s="95"/>
      <c r="C871" s="95"/>
      <c r="D871" s="89"/>
      <c r="E871" s="96"/>
      <c r="F871" s="96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</row>
    <row r="872" customFormat="false" ht="15.75" hidden="false" customHeight="false" outlineLevel="0" collapsed="false">
      <c r="A872" s="95"/>
      <c r="B872" s="95"/>
      <c r="C872" s="95"/>
      <c r="D872" s="89"/>
      <c r="E872" s="96"/>
      <c r="F872" s="96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</row>
    <row r="873" customFormat="false" ht="15.75" hidden="false" customHeight="false" outlineLevel="0" collapsed="false">
      <c r="A873" s="95"/>
      <c r="B873" s="95"/>
      <c r="C873" s="95"/>
      <c r="D873" s="89"/>
      <c r="E873" s="96"/>
      <c r="F873" s="96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</row>
    <row r="874" customFormat="false" ht="15.75" hidden="false" customHeight="false" outlineLevel="0" collapsed="false">
      <c r="A874" s="95"/>
      <c r="B874" s="95"/>
      <c r="C874" s="95"/>
      <c r="D874" s="89"/>
      <c r="E874" s="96"/>
      <c r="F874" s="96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</row>
    <row r="875" customFormat="false" ht="15.75" hidden="false" customHeight="false" outlineLevel="0" collapsed="false">
      <c r="A875" s="95"/>
      <c r="B875" s="95"/>
      <c r="C875" s="95"/>
      <c r="D875" s="89"/>
      <c r="E875" s="96"/>
      <c r="F875" s="96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</row>
    <row r="876" customFormat="false" ht="15.75" hidden="false" customHeight="false" outlineLevel="0" collapsed="false">
      <c r="A876" s="95"/>
      <c r="B876" s="95"/>
      <c r="C876" s="95"/>
      <c r="D876" s="89"/>
      <c r="E876" s="96"/>
      <c r="F876" s="96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</row>
    <row r="877" customFormat="false" ht="15.75" hidden="false" customHeight="false" outlineLevel="0" collapsed="false">
      <c r="A877" s="95"/>
      <c r="B877" s="95"/>
      <c r="C877" s="95"/>
      <c r="D877" s="89"/>
      <c r="E877" s="96"/>
      <c r="F877" s="96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</row>
    <row r="878" customFormat="false" ht="15.75" hidden="false" customHeight="false" outlineLevel="0" collapsed="false">
      <c r="A878" s="95"/>
      <c r="B878" s="95"/>
      <c r="C878" s="95"/>
      <c r="D878" s="89"/>
      <c r="E878" s="96"/>
      <c r="F878" s="96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</row>
    <row r="879" customFormat="false" ht="15.75" hidden="false" customHeight="false" outlineLevel="0" collapsed="false">
      <c r="A879" s="95"/>
      <c r="B879" s="95"/>
      <c r="C879" s="95"/>
      <c r="D879" s="89"/>
      <c r="E879" s="96"/>
      <c r="F879" s="96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</row>
    <row r="880" customFormat="false" ht="15.75" hidden="false" customHeight="false" outlineLevel="0" collapsed="false">
      <c r="A880" s="95"/>
      <c r="B880" s="95"/>
      <c r="C880" s="95"/>
      <c r="D880" s="89"/>
      <c r="E880" s="96"/>
      <c r="F880" s="96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</row>
    <row r="881" customFormat="false" ht="15.75" hidden="false" customHeight="false" outlineLevel="0" collapsed="false">
      <c r="A881" s="95"/>
      <c r="B881" s="95"/>
      <c r="C881" s="95"/>
      <c r="D881" s="89"/>
      <c r="E881" s="96"/>
      <c r="F881" s="96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</row>
    <row r="882" customFormat="false" ht="15.75" hidden="false" customHeight="false" outlineLevel="0" collapsed="false">
      <c r="A882" s="95"/>
      <c r="B882" s="95"/>
      <c r="C882" s="95"/>
      <c r="D882" s="89"/>
      <c r="E882" s="96"/>
      <c r="F882" s="96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</row>
    <row r="883" customFormat="false" ht="15.75" hidden="false" customHeight="false" outlineLevel="0" collapsed="false">
      <c r="A883" s="95"/>
      <c r="B883" s="95"/>
      <c r="C883" s="95"/>
      <c r="D883" s="89"/>
      <c r="E883" s="96"/>
      <c r="F883" s="96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</row>
    <row r="884" customFormat="false" ht="15.75" hidden="false" customHeight="false" outlineLevel="0" collapsed="false">
      <c r="A884" s="95"/>
      <c r="B884" s="95"/>
      <c r="C884" s="95"/>
      <c r="D884" s="89"/>
      <c r="E884" s="96"/>
      <c r="F884" s="96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</row>
    <row r="885" customFormat="false" ht="15.75" hidden="false" customHeight="false" outlineLevel="0" collapsed="false">
      <c r="A885" s="95"/>
      <c r="B885" s="95"/>
      <c r="C885" s="95"/>
      <c r="D885" s="89"/>
      <c r="E885" s="96"/>
      <c r="F885" s="96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</row>
    <row r="886" customFormat="false" ht="15.75" hidden="false" customHeight="false" outlineLevel="0" collapsed="false">
      <c r="A886" s="95"/>
      <c r="B886" s="95"/>
      <c r="C886" s="95"/>
      <c r="D886" s="89"/>
      <c r="E886" s="96"/>
      <c r="F886" s="96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</row>
    <row r="887" customFormat="false" ht="15.75" hidden="false" customHeight="false" outlineLevel="0" collapsed="false">
      <c r="A887" s="95"/>
      <c r="B887" s="95"/>
      <c r="C887" s="95"/>
      <c r="D887" s="89"/>
      <c r="E887" s="96"/>
      <c r="F887" s="96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</row>
    <row r="888" customFormat="false" ht="15.75" hidden="false" customHeight="false" outlineLevel="0" collapsed="false">
      <c r="A888" s="95"/>
      <c r="B888" s="95"/>
      <c r="C888" s="95"/>
      <c r="D888" s="89"/>
      <c r="E888" s="96"/>
      <c r="F888" s="96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</row>
    <row r="889" customFormat="false" ht="15.75" hidden="false" customHeight="false" outlineLevel="0" collapsed="false">
      <c r="A889" s="95"/>
      <c r="B889" s="95"/>
      <c r="C889" s="95"/>
      <c r="D889" s="89"/>
      <c r="E889" s="96"/>
      <c r="F889" s="96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</row>
    <row r="890" customFormat="false" ht="15.75" hidden="false" customHeight="false" outlineLevel="0" collapsed="false">
      <c r="A890" s="95"/>
      <c r="B890" s="95"/>
      <c r="C890" s="95"/>
      <c r="D890" s="89"/>
      <c r="E890" s="96"/>
      <c r="F890" s="96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</row>
    <row r="891" customFormat="false" ht="15.75" hidden="false" customHeight="false" outlineLevel="0" collapsed="false">
      <c r="A891" s="95"/>
      <c r="B891" s="95"/>
      <c r="C891" s="95"/>
      <c r="D891" s="89"/>
      <c r="E891" s="96"/>
      <c r="F891" s="96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</row>
    <row r="892" customFormat="false" ht="15.75" hidden="false" customHeight="false" outlineLevel="0" collapsed="false">
      <c r="A892" s="95"/>
      <c r="B892" s="95"/>
      <c r="C892" s="95"/>
      <c r="D892" s="89"/>
      <c r="E892" s="96"/>
      <c r="F892" s="96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</row>
    <row r="893" customFormat="false" ht="15.75" hidden="false" customHeight="false" outlineLevel="0" collapsed="false">
      <c r="A893" s="95"/>
      <c r="B893" s="95"/>
      <c r="C893" s="95"/>
      <c r="D893" s="89"/>
      <c r="E893" s="96"/>
      <c r="F893" s="96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</row>
    <row r="894" customFormat="false" ht="15.75" hidden="false" customHeight="false" outlineLevel="0" collapsed="false">
      <c r="A894" s="95"/>
      <c r="B894" s="95"/>
      <c r="C894" s="95"/>
      <c r="D894" s="89"/>
      <c r="E894" s="96"/>
      <c r="F894" s="96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</row>
    <row r="895" customFormat="false" ht="15.75" hidden="false" customHeight="false" outlineLevel="0" collapsed="false">
      <c r="A895" s="95"/>
      <c r="B895" s="95"/>
      <c r="C895" s="95"/>
      <c r="D895" s="89"/>
      <c r="E895" s="96"/>
      <c r="F895" s="96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</row>
    <row r="896" customFormat="false" ht="15.75" hidden="false" customHeight="false" outlineLevel="0" collapsed="false">
      <c r="A896" s="95"/>
      <c r="B896" s="95"/>
      <c r="C896" s="95"/>
      <c r="D896" s="89"/>
      <c r="E896" s="96"/>
      <c r="F896" s="96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</row>
    <row r="897" customFormat="false" ht="15.75" hidden="false" customHeight="false" outlineLevel="0" collapsed="false">
      <c r="A897" s="95"/>
      <c r="B897" s="95"/>
      <c r="C897" s="95"/>
      <c r="D897" s="89"/>
      <c r="E897" s="96"/>
      <c r="F897" s="96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</row>
    <row r="898" customFormat="false" ht="15.75" hidden="false" customHeight="false" outlineLevel="0" collapsed="false">
      <c r="A898" s="95"/>
      <c r="B898" s="95"/>
      <c r="C898" s="95"/>
      <c r="D898" s="89"/>
      <c r="E898" s="96"/>
      <c r="F898" s="96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</row>
    <row r="899" customFormat="false" ht="15.75" hidden="false" customHeight="false" outlineLevel="0" collapsed="false">
      <c r="A899" s="95"/>
      <c r="B899" s="95"/>
      <c r="C899" s="95"/>
      <c r="D899" s="89"/>
      <c r="E899" s="96"/>
      <c r="F899" s="96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</row>
    <row r="900" customFormat="false" ht="15.75" hidden="false" customHeight="false" outlineLevel="0" collapsed="false">
      <c r="A900" s="95"/>
      <c r="B900" s="95"/>
      <c r="C900" s="95"/>
      <c r="D900" s="89"/>
      <c r="E900" s="96"/>
      <c r="F900" s="96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</row>
    <row r="901" customFormat="false" ht="15.75" hidden="false" customHeight="false" outlineLevel="0" collapsed="false">
      <c r="A901" s="95"/>
      <c r="B901" s="95"/>
      <c r="C901" s="95"/>
      <c r="D901" s="89"/>
      <c r="E901" s="96"/>
      <c r="F901" s="96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</row>
    <row r="902" customFormat="false" ht="15.75" hidden="false" customHeight="false" outlineLevel="0" collapsed="false">
      <c r="A902" s="95"/>
      <c r="B902" s="95"/>
      <c r="C902" s="95"/>
      <c r="D902" s="89"/>
      <c r="E902" s="96"/>
      <c r="F902" s="96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</row>
    <row r="903" customFormat="false" ht="15.75" hidden="false" customHeight="false" outlineLevel="0" collapsed="false">
      <c r="A903" s="95"/>
      <c r="B903" s="95"/>
      <c r="C903" s="95"/>
      <c r="D903" s="89"/>
      <c r="E903" s="96"/>
      <c r="F903" s="96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</row>
    <row r="904" customFormat="false" ht="15.75" hidden="false" customHeight="false" outlineLevel="0" collapsed="false">
      <c r="A904" s="95"/>
      <c r="B904" s="95"/>
      <c r="C904" s="95"/>
      <c r="D904" s="89"/>
      <c r="E904" s="96"/>
      <c r="F904" s="96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</row>
    <row r="905" customFormat="false" ht="15.75" hidden="false" customHeight="false" outlineLevel="0" collapsed="false">
      <c r="A905" s="95"/>
      <c r="B905" s="95"/>
      <c r="C905" s="95"/>
      <c r="D905" s="89"/>
      <c r="E905" s="96"/>
      <c r="F905" s="96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</row>
    <row r="906" customFormat="false" ht="15.75" hidden="false" customHeight="false" outlineLevel="0" collapsed="false">
      <c r="A906" s="95"/>
      <c r="B906" s="95"/>
      <c r="C906" s="95"/>
      <c r="D906" s="89"/>
      <c r="E906" s="96"/>
      <c r="F906" s="96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</row>
    <row r="907" customFormat="false" ht="15.75" hidden="false" customHeight="false" outlineLevel="0" collapsed="false">
      <c r="A907" s="95"/>
      <c r="B907" s="95"/>
      <c r="C907" s="95"/>
      <c r="D907" s="89"/>
      <c r="E907" s="96"/>
      <c r="F907" s="96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</row>
    <row r="908" customFormat="false" ht="15.75" hidden="false" customHeight="false" outlineLevel="0" collapsed="false">
      <c r="A908" s="95"/>
      <c r="B908" s="95"/>
      <c r="C908" s="95"/>
      <c r="D908" s="89"/>
      <c r="E908" s="96"/>
      <c r="F908" s="96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</row>
    <row r="909" customFormat="false" ht="15.75" hidden="false" customHeight="false" outlineLevel="0" collapsed="false">
      <c r="A909" s="95"/>
      <c r="B909" s="95"/>
      <c r="C909" s="95"/>
      <c r="D909" s="89"/>
      <c r="E909" s="96"/>
      <c r="F909" s="96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</row>
    <row r="910" customFormat="false" ht="15.75" hidden="false" customHeight="false" outlineLevel="0" collapsed="false">
      <c r="A910" s="95"/>
      <c r="B910" s="95"/>
      <c r="C910" s="95"/>
      <c r="D910" s="89"/>
      <c r="E910" s="96"/>
      <c r="F910" s="96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</row>
    <row r="911" customFormat="false" ht="15.75" hidden="false" customHeight="false" outlineLevel="0" collapsed="false">
      <c r="A911" s="95"/>
      <c r="B911" s="95"/>
      <c r="C911" s="95"/>
      <c r="D911" s="89"/>
      <c r="E911" s="96"/>
      <c r="F911" s="96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</row>
    <row r="912" customFormat="false" ht="15.75" hidden="false" customHeight="false" outlineLevel="0" collapsed="false">
      <c r="A912" s="95"/>
      <c r="B912" s="95"/>
      <c r="C912" s="95"/>
      <c r="D912" s="89"/>
      <c r="E912" s="96"/>
      <c r="F912" s="96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</row>
    <row r="913" customFormat="false" ht="15.75" hidden="false" customHeight="false" outlineLevel="0" collapsed="false">
      <c r="A913" s="95"/>
      <c r="B913" s="95"/>
      <c r="C913" s="95"/>
      <c r="D913" s="89"/>
      <c r="E913" s="96"/>
      <c r="F913" s="96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</row>
    <row r="914" customFormat="false" ht="15.75" hidden="false" customHeight="false" outlineLevel="0" collapsed="false">
      <c r="A914" s="95"/>
      <c r="B914" s="95"/>
      <c r="C914" s="95"/>
      <c r="D914" s="89"/>
      <c r="E914" s="96"/>
      <c r="F914" s="96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</row>
    <row r="915" customFormat="false" ht="15.75" hidden="false" customHeight="false" outlineLevel="0" collapsed="false">
      <c r="A915" s="95"/>
      <c r="B915" s="95"/>
      <c r="C915" s="95"/>
      <c r="D915" s="89"/>
      <c r="E915" s="96"/>
      <c r="F915" s="96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</row>
    <row r="916" customFormat="false" ht="15.75" hidden="false" customHeight="false" outlineLevel="0" collapsed="false">
      <c r="A916" s="95"/>
      <c r="B916" s="95"/>
      <c r="C916" s="95"/>
      <c r="D916" s="89"/>
      <c r="E916" s="96"/>
      <c r="F916" s="96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</row>
    <row r="917" customFormat="false" ht="15.75" hidden="false" customHeight="false" outlineLevel="0" collapsed="false">
      <c r="A917" s="95"/>
      <c r="B917" s="95"/>
      <c r="C917" s="95"/>
      <c r="D917" s="89"/>
      <c r="E917" s="96"/>
      <c r="F917" s="96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</row>
    <row r="918" customFormat="false" ht="15.75" hidden="false" customHeight="false" outlineLevel="0" collapsed="false">
      <c r="A918" s="95"/>
      <c r="B918" s="95"/>
      <c r="C918" s="95"/>
      <c r="D918" s="89"/>
      <c r="E918" s="96"/>
      <c r="F918" s="96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</row>
    <row r="919" customFormat="false" ht="15.75" hidden="false" customHeight="false" outlineLevel="0" collapsed="false">
      <c r="A919" s="95"/>
      <c r="B919" s="95"/>
      <c r="C919" s="95"/>
      <c r="D919" s="89"/>
      <c r="E919" s="96"/>
      <c r="F919" s="96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</row>
    <row r="920" customFormat="false" ht="15.75" hidden="false" customHeight="false" outlineLevel="0" collapsed="false">
      <c r="A920" s="95"/>
      <c r="B920" s="95"/>
      <c r="C920" s="95"/>
      <c r="D920" s="89"/>
      <c r="E920" s="96"/>
      <c r="F920" s="96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</row>
    <row r="921" customFormat="false" ht="15.75" hidden="false" customHeight="false" outlineLevel="0" collapsed="false">
      <c r="A921" s="95"/>
      <c r="B921" s="95"/>
      <c r="C921" s="95"/>
      <c r="D921" s="89"/>
      <c r="E921" s="96"/>
      <c r="F921" s="96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</row>
    <row r="922" customFormat="false" ht="15.75" hidden="false" customHeight="false" outlineLevel="0" collapsed="false">
      <c r="A922" s="95"/>
      <c r="B922" s="95"/>
      <c r="C922" s="95"/>
      <c r="D922" s="89"/>
      <c r="E922" s="96"/>
      <c r="F922" s="96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</row>
    <row r="923" customFormat="false" ht="15.75" hidden="false" customHeight="false" outlineLevel="0" collapsed="false">
      <c r="A923" s="95"/>
      <c r="B923" s="95"/>
      <c r="C923" s="95"/>
      <c r="D923" s="89"/>
      <c r="E923" s="96"/>
      <c r="F923" s="96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</row>
    <row r="924" customFormat="false" ht="15.75" hidden="false" customHeight="false" outlineLevel="0" collapsed="false">
      <c r="A924" s="95"/>
      <c r="B924" s="95"/>
      <c r="C924" s="95"/>
      <c r="D924" s="89"/>
      <c r="E924" s="96"/>
      <c r="F924" s="96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</row>
    <row r="925" customFormat="false" ht="15.75" hidden="false" customHeight="false" outlineLevel="0" collapsed="false">
      <c r="A925" s="95"/>
      <c r="B925" s="95"/>
      <c r="C925" s="95"/>
      <c r="D925" s="89"/>
      <c r="E925" s="96"/>
      <c r="F925" s="96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</row>
    <row r="926" customFormat="false" ht="15.75" hidden="false" customHeight="false" outlineLevel="0" collapsed="false">
      <c r="A926" s="95"/>
      <c r="B926" s="95"/>
      <c r="C926" s="95"/>
      <c r="D926" s="89"/>
      <c r="E926" s="96"/>
      <c r="F926" s="96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</row>
    <row r="927" customFormat="false" ht="15.75" hidden="false" customHeight="false" outlineLevel="0" collapsed="false">
      <c r="A927" s="95"/>
      <c r="B927" s="95"/>
      <c r="C927" s="95"/>
      <c r="D927" s="89"/>
      <c r="E927" s="96"/>
      <c r="F927" s="96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</row>
    <row r="928" customFormat="false" ht="15.75" hidden="false" customHeight="false" outlineLevel="0" collapsed="false">
      <c r="A928" s="95"/>
      <c r="B928" s="95"/>
      <c r="C928" s="95"/>
      <c r="D928" s="89"/>
      <c r="E928" s="96"/>
      <c r="F928" s="96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</row>
    <row r="929" customFormat="false" ht="15.75" hidden="false" customHeight="false" outlineLevel="0" collapsed="false">
      <c r="A929" s="95"/>
      <c r="B929" s="95"/>
      <c r="C929" s="95"/>
      <c r="D929" s="89"/>
      <c r="E929" s="96"/>
      <c r="F929" s="96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</row>
    <row r="930" customFormat="false" ht="15.75" hidden="false" customHeight="false" outlineLevel="0" collapsed="false">
      <c r="A930" s="95"/>
      <c r="B930" s="95"/>
      <c r="C930" s="95"/>
      <c r="D930" s="89"/>
      <c r="E930" s="96"/>
      <c r="F930" s="96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</row>
    <row r="931" customFormat="false" ht="15.75" hidden="false" customHeight="false" outlineLevel="0" collapsed="false">
      <c r="A931" s="95"/>
      <c r="B931" s="95"/>
      <c r="C931" s="95"/>
      <c r="D931" s="89"/>
      <c r="E931" s="96"/>
      <c r="F931" s="96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</row>
    <row r="932" customFormat="false" ht="15.75" hidden="false" customHeight="false" outlineLevel="0" collapsed="false">
      <c r="A932" s="95"/>
      <c r="B932" s="95"/>
      <c r="C932" s="95"/>
      <c r="D932" s="89"/>
      <c r="E932" s="96"/>
      <c r="F932" s="96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</row>
    <row r="933" customFormat="false" ht="15.75" hidden="false" customHeight="false" outlineLevel="0" collapsed="false">
      <c r="A933" s="95"/>
      <c r="B933" s="95"/>
      <c r="C933" s="95"/>
      <c r="D933" s="89"/>
      <c r="E933" s="96"/>
      <c r="F933" s="96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</row>
    <row r="934" customFormat="false" ht="15.75" hidden="false" customHeight="false" outlineLevel="0" collapsed="false">
      <c r="A934" s="95"/>
      <c r="B934" s="95"/>
      <c r="C934" s="95"/>
      <c r="D934" s="89"/>
      <c r="E934" s="96"/>
      <c r="F934" s="96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</row>
    <row r="935" customFormat="false" ht="15.75" hidden="false" customHeight="false" outlineLevel="0" collapsed="false">
      <c r="A935" s="95"/>
      <c r="B935" s="95"/>
      <c r="C935" s="95"/>
      <c r="D935" s="89"/>
      <c r="E935" s="96"/>
      <c r="F935" s="96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</row>
    <row r="936" customFormat="false" ht="15.75" hidden="false" customHeight="false" outlineLevel="0" collapsed="false">
      <c r="A936" s="95"/>
      <c r="B936" s="95"/>
      <c r="C936" s="95"/>
      <c r="D936" s="89"/>
      <c r="E936" s="96"/>
      <c r="F936" s="96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</row>
    <row r="937" customFormat="false" ht="15.75" hidden="false" customHeight="false" outlineLevel="0" collapsed="false">
      <c r="A937" s="95"/>
      <c r="B937" s="95"/>
      <c r="C937" s="95"/>
      <c r="D937" s="89"/>
      <c r="E937" s="96"/>
      <c r="F937" s="96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</row>
    <row r="938" customFormat="false" ht="15.75" hidden="false" customHeight="false" outlineLevel="0" collapsed="false">
      <c r="A938" s="95"/>
      <c r="B938" s="95"/>
      <c r="C938" s="95"/>
      <c r="D938" s="89"/>
      <c r="E938" s="96"/>
      <c r="F938" s="96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</row>
    <row r="939" customFormat="false" ht="15.75" hidden="false" customHeight="false" outlineLevel="0" collapsed="false">
      <c r="A939" s="95"/>
      <c r="B939" s="95"/>
      <c r="C939" s="95"/>
      <c r="D939" s="89"/>
      <c r="E939" s="96"/>
      <c r="F939" s="96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</row>
    <row r="940" customFormat="false" ht="15.75" hidden="false" customHeight="false" outlineLevel="0" collapsed="false">
      <c r="A940" s="95"/>
      <c r="B940" s="95"/>
      <c r="C940" s="95"/>
      <c r="D940" s="89"/>
      <c r="E940" s="96"/>
      <c r="F940" s="96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</row>
    <row r="941" customFormat="false" ht="15.75" hidden="false" customHeight="false" outlineLevel="0" collapsed="false">
      <c r="A941" s="95"/>
      <c r="B941" s="95"/>
      <c r="C941" s="95"/>
      <c r="D941" s="89"/>
      <c r="E941" s="96"/>
      <c r="F941" s="96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</row>
    <row r="942" customFormat="false" ht="15.75" hidden="false" customHeight="false" outlineLevel="0" collapsed="false">
      <c r="A942" s="95"/>
      <c r="B942" s="95"/>
      <c r="C942" s="95"/>
      <c r="D942" s="89"/>
      <c r="E942" s="96"/>
      <c r="F942" s="96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</row>
    <row r="943" customFormat="false" ht="15.75" hidden="false" customHeight="false" outlineLevel="0" collapsed="false">
      <c r="A943" s="95"/>
      <c r="B943" s="95"/>
      <c r="C943" s="95"/>
      <c r="D943" s="89"/>
      <c r="E943" s="96"/>
      <c r="F943" s="96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</row>
    <row r="944" customFormat="false" ht="15.75" hidden="false" customHeight="false" outlineLevel="0" collapsed="false">
      <c r="A944" s="95"/>
      <c r="B944" s="95"/>
      <c r="C944" s="95"/>
      <c r="D944" s="89"/>
      <c r="E944" s="96"/>
      <c r="F944" s="96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</row>
    <row r="945" customFormat="false" ht="15.75" hidden="false" customHeight="false" outlineLevel="0" collapsed="false">
      <c r="A945" s="95"/>
      <c r="B945" s="95"/>
      <c r="C945" s="95"/>
      <c r="D945" s="89"/>
      <c r="E945" s="96"/>
      <c r="F945" s="96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</row>
    <row r="946" customFormat="false" ht="15.75" hidden="false" customHeight="false" outlineLevel="0" collapsed="false">
      <c r="A946" s="95"/>
      <c r="B946" s="95"/>
      <c r="C946" s="95"/>
      <c r="D946" s="89"/>
      <c r="E946" s="96"/>
      <c r="F946" s="96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</row>
    <row r="947" customFormat="false" ht="15.75" hidden="false" customHeight="false" outlineLevel="0" collapsed="false">
      <c r="A947" s="95"/>
      <c r="B947" s="95"/>
      <c r="C947" s="95"/>
      <c r="D947" s="89"/>
      <c r="E947" s="96"/>
      <c r="F947" s="96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</row>
    <row r="948" customFormat="false" ht="15.75" hidden="false" customHeight="false" outlineLevel="0" collapsed="false">
      <c r="A948" s="95"/>
      <c r="B948" s="95"/>
      <c r="C948" s="95"/>
      <c r="D948" s="89"/>
      <c r="E948" s="96"/>
      <c r="F948" s="96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</row>
    <row r="949" customFormat="false" ht="15.75" hidden="false" customHeight="false" outlineLevel="0" collapsed="false">
      <c r="A949" s="95"/>
      <c r="B949" s="95"/>
      <c r="C949" s="95"/>
      <c r="D949" s="89"/>
      <c r="E949" s="96"/>
      <c r="F949" s="96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</row>
    <row r="950" customFormat="false" ht="15.75" hidden="false" customHeight="false" outlineLevel="0" collapsed="false">
      <c r="A950" s="95"/>
      <c r="B950" s="95"/>
      <c r="C950" s="95"/>
      <c r="D950" s="89"/>
      <c r="E950" s="96"/>
      <c r="F950" s="96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</row>
    <row r="951" customFormat="false" ht="15.75" hidden="false" customHeight="false" outlineLevel="0" collapsed="false">
      <c r="A951" s="95"/>
      <c r="B951" s="95"/>
      <c r="C951" s="95"/>
      <c r="D951" s="89"/>
      <c r="E951" s="96"/>
      <c r="F951" s="96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</row>
    <row r="952" customFormat="false" ht="15.75" hidden="false" customHeight="false" outlineLevel="0" collapsed="false">
      <c r="A952" s="95"/>
      <c r="B952" s="95"/>
      <c r="C952" s="95"/>
      <c r="D952" s="89"/>
      <c r="E952" s="96"/>
      <c r="F952" s="96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</row>
    <row r="953" customFormat="false" ht="15.75" hidden="false" customHeight="false" outlineLevel="0" collapsed="false">
      <c r="A953" s="95"/>
      <c r="B953" s="95"/>
      <c r="C953" s="95"/>
      <c r="D953" s="89"/>
      <c r="E953" s="96"/>
      <c r="F953" s="96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</row>
    <row r="954" customFormat="false" ht="15.75" hidden="false" customHeight="false" outlineLevel="0" collapsed="false">
      <c r="A954" s="95"/>
      <c r="B954" s="95"/>
      <c r="C954" s="95"/>
      <c r="D954" s="89"/>
      <c r="E954" s="96"/>
      <c r="F954" s="96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</row>
    <row r="955" customFormat="false" ht="15.75" hidden="false" customHeight="false" outlineLevel="0" collapsed="false">
      <c r="A955" s="95"/>
      <c r="B955" s="95"/>
      <c r="C955" s="95"/>
      <c r="D955" s="89"/>
      <c r="E955" s="96"/>
      <c r="F955" s="96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</row>
    <row r="956" customFormat="false" ht="15.75" hidden="false" customHeight="false" outlineLevel="0" collapsed="false">
      <c r="A956" s="95"/>
      <c r="B956" s="95"/>
      <c r="C956" s="95"/>
      <c r="D956" s="89"/>
      <c r="E956" s="96"/>
      <c r="F956" s="96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</row>
    <row r="957" customFormat="false" ht="15.75" hidden="false" customHeight="false" outlineLevel="0" collapsed="false">
      <c r="A957" s="95"/>
      <c r="B957" s="95"/>
      <c r="C957" s="95"/>
      <c r="D957" s="89"/>
      <c r="E957" s="96"/>
      <c r="F957" s="96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</row>
    <row r="958" customFormat="false" ht="15.75" hidden="false" customHeight="false" outlineLevel="0" collapsed="false">
      <c r="A958" s="95"/>
      <c r="B958" s="95"/>
      <c r="C958" s="95"/>
      <c r="D958" s="89"/>
      <c r="E958" s="96"/>
      <c r="F958" s="96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</row>
    <row r="959" customFormat="false" ht="15.75" hidden="false" customHeight="false" outlineLevel="0" collapsed="false">
      <c r="A959" s="95"/>
      <c r="B959" s="95"/>
      <c r="C959" s="95"/>
      <c r="D959" s="89"/>
      <c r="E959" s="96"/>
      <c r="F959" s="96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</row>
    <row r="960" customFormat="false" ht="15.75" hidden="false" customHeight="false" outlineLevel="0" collapsed="false">
      <c r="A960" s="95"/>
      <c r="B960" s="95"/>
      <c r="C960" s="95"/>
      <c r="D960" s="89"/>
      <c r="E960" s="96"/>
      <c r="F960" s="96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</row>
    <row r="961" customFormat="false" ht="15.75" hidden="false" customHeight="false" outlineLevel="0" collapsed="false">
      <c r="A961" s="95"/>
      <c r="B961" s="95"/>
      <c r="C961" s="95"/>
      <c r="D961" s="89"/>
      <c r="E961" s="96"/>
      <c r="F961" s="96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</row>
    <row r="962" customFormat="false" ht="15.75" hidden="false" customHeight="false" outlineLevel="0" collapsed="false">
      <c r="A962" s="95"/>
      <c r="B962" s="95"/>
      <c r="C962" s="95"/>
      <c r="D962" s="89"/>
      <c r="E962" s="96"/>
      <c r="F962" s="96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</row>
    <row r="963" customFormat="false" ht="15.75" hidden="false" customHeight="false" outlineLevel="0" collapsed="false">
      <c r="A963" s="95"/>
      <c r="B963" s="95"/>
      <c r="C963" s="95"/>
      <c r="D963" s="89"/>
      <c r="E963" s="96"/>
      <c r="F963" s="96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</row>
    <row r="964" customFormat="false" ht="15.75" hidden="false" customHeight="false" outlineLevel="0" collapsed="false">
      <c r="A964" s="95"/>
      <c r="B964" s="95"/>
      <c r="C964" s="95"/>
      <c r="D964" s="89"/>
      <c r="E964" s="96"/>
      <c r="F964" s="96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</row>
    <row r="965" customFormat="false" ht="15.75" hidden="false" customHeight="false" outlineLevel="0" collapsed="false">
      <c r="A965" s="95"/>
      <c r="B965" s="95"/>
      <c r="C965" s="95"/>
      <c r="D965" s="89"/>
      <c r="E965" s="96"/>
      <c r="F965" s="96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</row>
    <row r="966" customFormat="false" ht="15.75" hidden="false" customHeight="false" outlineLevel="0" collapsed="false">
      <c r="A966" s="95"/>
      <c r="B966" s="95"/>
      <c r="C966" s="95"/>
      <c r="D966" s="89"/>
      <c r="E966" s="96"/>
      <c r="F966" s="96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</row>
    <row r="967" customFormat="false" ht="15.75" hidden="false" customHeight="false" outlineLevel="0" collapsed="false">
      <c r="A967" s="95"/>
      <c r="B967" s="95"/>
      <c r="C967" s="95"/>
      <c r="D967" s="89"/>
      <c r="E967" s="96"/>
      <c r="F967" s="96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</row>
    <row r="968" customFormat="false" ht="15.75" hidden="false" customHeight="false" outlineLevel="0" collapsed="false">
      <c r="A968" s="95"/>
      <c r="B968" s="95"/>
      <c r="C968" s="95"/>
      <c r="D968" s="89"/>
      <c r="E968" s="96"/>
      <c r="F968" s="96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</row>
    <row r="969" customFormat="false" ht="15.75" hidden="false" customHeight="false" outlineLevel="0" collapsed="false">
      <c r="A969" s="95"/>
      <c r="B969" s="95"/>
      <c r="C969" s="95"/>
      <c r="D969" s="89"/>
      <c r="E969" s="96"/>
      <c r="F969" s="96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</row>
    <row r="970" customFormat="false" ht="15.75" hidden="false" customHeight="false" outlineLevel="0" collapsed="false">
      <c r="A970" s="95"/>
      <c r="B970" s="95"/>
      <c r="C970" s="95"/>
      <c r="D970" s="89"/>
      <c r="E970" s="96"/>
      <c r="F970" s="96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</row>
    <row r="971" customFormat="false" ht="15.75" hidden="false" customHeight="false" outlineLevel="0" collapsed="false">
      <c r="A971" s="95"/>
      <c r="B971" s="95"/>
      <c r="C971" s="95"/>
      <c r="D971" s="89"/>
      <c r="E971" s="96"/>
      <c r="F971" s="96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</row>
    <row r="972" customFormat="false" ht="15.75" hidden="false" customHeight="false" outlineLevel="0" collapsed="false">
      <c r="A972" s="95"/>
      <c r="B972" s="95"/>
      <c r="C972" s="95"/>
      <c r="D972" s="89"/>
      <c r="E972" s="96"/>
      <c r="F972" s="96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</row>
    <row r="973" customFormat="false" ht="15.75" hidden="false" customHeight="false" outlineLevel="0" collapsed="false">
      <c r="A973" s="95"/>
      <c r="B973" s="95"/>
      <c r="C973" s="95"/>
      <c r="D973" s="89"/>
      <c r="E973" s="96"/>
      <c r="F973" s="96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</row>
    <row r="974" customFormat="false" ht="15.75" hidden="false" customHeight="false" outlineLevel="0" collapsed="false">
      <c r="A974" s="95"/>
      <c r="B974" s="95"/>
      <c r="C974" s="95"/>
      <c r="D974" s="89"/>
      <c r="E974" s="96"/>
      <c r="F974" s="96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</row>
    <row r="975" customFormat="false" ht="15.75" hidden="false" customHeight="false" outlineLevel="0" collapsed="false">
      <c r="A975" s="95"/>
      <c r="B975" s="95"/>
      <c r="C975" s="95"/>
      <c r="D975" s="89"/>
      <c r="E975" s="96"/>
      <c r="F975" s="96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</row>
    <row r="976" customFormat="false" ht="15.75" hidden="false" customHeight="false" outlineLevel="0" collapsed="false">
      <c r="A976" s="95"/>
      <c r="B976" s="95"/>
      <c r="C976" s="95"/>
      <c r="D976" s="89"/>
      <c r="E976" s="96"/>
      <c r="F976" s="96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</row>
    <row r="977" customFormat="false" ht="15.75" hidden="false" customHeight="false" outlineLevel="0" collapsed="false">
      <c r="A977" s="95"/>
      <c r="B977" s="95"/>
      <c r="C977" s="95"/>
      <c r="D977" s="89"/>
      <c r="E977" s="96"/>
      <c r="F977" s="96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</row>
    <row r="978" customFormat="false" ht="15.75" hidden="false" customHeight="false" outlineLevel="0" collapsed="false">
      <c r="A978" s="95"/>
      <c r="B978" s="95"/>
      <c r="C978" s="95"/>
      <c r="D978" s="89"/>
      <c r="E978" s="96"/>
      <c r="F978" s="96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</row>
    <row r="979" customFormat="false" ht="15.75" hidden="false" customHeight="false" outlineLevel="0" collapsed="false">
      <c r="A979" s="95"/>
      <c r="B979" s="95"/>
      <c r="C979" s="95"/>
      <c r="D979" s="89"/>
      <c r="E979" s="96"/>
      <c r="F979" s="96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</row>
    <row r="980" customFormat="false" ht="15.75" hidden="false" customHeight="false" outlineLevel="0" collapsed="false">
      <c r="A980" s="95"/>
      <c r="B980" s="95"/>
      <c r="C980" s="95"/>
      <c r="D980" s="89"/>
      <c r="E980" s="96"/>
      <c r="F980" s="96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</row>
    <row r="981" customFormat="false" ht="15.75" hidden="false" customHeight="false" outlineLevel="0" collapsed="false">
      <c r="A981" s="95"/>
      <c r="B981" s="95"/>
      <c r="C981" s="95"/>
      <c r="D981" s="89"/>
      <c r="E981" s="96"/>
      <c r="F981" s="96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</row>
    <row r="982" customFormat="false" ht="15.75" hidden="false" customHeight="false" outlineLevel="0" collapsed="false">
      <c r="A982" s="95"/>
      <c r="B982" s="95"/>
      <c r="C982" s="95"/>
      <c r="D982" s="89"/>
      <c r="E982" s="96"/>
      <c r="F982" s="96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</row>
    <row r="983" customFormat="false" ht="15.75" hidden="false" customHeight="false" outlineLevel="0" collapsed="false">
      <c r="A983" s="95"/>
      <c r="B983" s="95"/>
      <c r="C983" s="95"/>
      <c r="D983" s="89"/>
      <c r="E983" s="96"/>
      <c r="F983" s="96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</row>
    <row r="984" customFormat="false" ht="15.75" hidden="false" customHeight="false" outlineLevel="0" collapsed="false">
      <c r="A984" s="95"/>
      <c r="B984" s="95"/>
      <c r="C984" s="95"/>
      <c r="D984" s="89"/>
      <c r="E984" s="96"/>
      <c r="F984" s="96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</row>
    <row r="985" customFormat="false" ht="15.75" hidden="false" customHeight="false" outlineLevel="0" collapsed="false">
      <c r="A985" s="95"/>
      <c r="B985" s="95"/>
      <c r="C985" s="95"/>
      <c r="D985" s="89"/>
      <c r="E985" s="96"/>
      <c r="F985" s="96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</row>
    <row r="986" customFormat="false" ht="15.75" hidden="false" customHeight="false" outlineLevel="0" collapsed="false">
      <c r="A986" s="95"/>
      <c r="B986" s="95"/>
      <c r="C986" s="95"/>
      <c r="D986" s="89"/>
      <c r="E986" s="96"/>
      <c r="F986" s="96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</row>
    <row r="987" customFormat="false" ht="15.75" hidden="false" customHeight="false" outlineLevel="0" collapsed="false">
      <c r="A987" s="95"/>
      <c r="B987" s="95"/>
      <c r="C987" s="95"/>
      <c r="D987" s="89"/>
      <c r="E987" s="96"/>
      <c r="F987" s="96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</row>
    <row r="988" customFormat="false" ht="15.75" hidden="false" customHeight="false" outlineLevel="0" collapsed="false">
      <c r="A988" s="95"/>
      <c r="B988" s="95"/>
      <c r="C988" s="95"/>
      <c r="D988" s="89"/>
      <c r="E988" s="96"/>
      <c r="F988" s="96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</row>
    <row r="989" customFormat="false" ht="15.75" hidden="false" customHeight="false" outlineLevel="0" collapsed="false">
      <c r="A989" s="95"/>
      <c r="B989" s="95"/>
      <c r="C989" s="95"/>
      <c r="D989" s="89"/>
      <c r="E989" s="96"/>
      <c r="F989" s="96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</row>
    <row r="990" customFormat="false" ht="15.75" hidden="false" customHeight="false" outlineLevel="0" collapsed="false">
      <c r="A990" s="95"/>
      <c r="B990" s="95"/>
      <c r="C990" s="95"/>
      <c r="D990" s="89"/>
      <c r="E990" s="96"/>
      <c r="F990" s="96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</row>
    <row r="991" customFormat="false" ht="15.75" hidden="false" customHeight="false" outlineLevel="0" collapsed="false">
      <c r="A991" s="95"/>
      <c r="B991" s="95"/>
      <c r="C991" s="95"/>
      <c r="D991" s="89"/>
      <c r="E991" s="96"/>
      <c r="F991" s="96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</row>
    <row r="992" customFormat="false" ht="15.75" hidden="false" customHeight="false" outlineLevel="0" collapsed="false">
      <c r="A992" s="95"/>
      <c r="B992" s="95"/>
      <c r="C992" s="95"/>
      <c r="D992" s="89"/>
      <c r="E992" s="96"/>
      <c r="F992" s="96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</row>
    <row r="993" customFormat="false" ht="15.75" hidden="false" customHeight="false" outlineLevel="0" collapsed="false">
      <c r="A993" s="95"/>
      <c r="B993" s="95"/>
      <c r="C993" s="95"/>
      <c r="D993" s="89"/>
      <c r="E993" s="96"/>
      <c r="F993" s="96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</row>
    <row r="994" customFormat="false" ht="15.75" hidden="false" customHeight="false" outlineLevel="0" collapsed="false">
      <c r="A994" s="95"/>
      <c r="B994" s="95"/>
      <c r="C994" s="95"/>
      <c r="D994" s="89"/>
      <c r="E994" s="96"/>
      <c r="F994" s="96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</row>
    <row r="995" customFormat="false" ht="15.75" hidden="false" customHeight="false" outlineLevel="0" collapsed="false">
      <c r="A995" s="95"/>
      <c r="B995" s="95"/>
      <c r="C995" s="95"/>
      <c r="D995" s="89"/>
      <c r="E995" s="96"/>
      <c r="F995" s="96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</row>
    <row r="996" customFormat="false" ht="15.75" hidden="false" customHeight="false" outlineLevel="0" collapsed="false">
      <c r="A996" s="95"/>
      <c r="B996" s="95"/>
      <c r="C996" s="95"/>
      <c r="D996" s="89"/>
      <c r="E996" s="96"/>
      <c r="F996" s="96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</row>
    <row r="997" customFormat="false" ht="15.75" hidden="false" customHeight="false" outlineLevel="0" collapsed="false">
      <c r="A997" s="95"/>
      <c r="B997" s="95"/>
      <c r="C997" s="95"/>
      <c r="D997" s="89"/>
      <c r="E997" s="96"/>
      <c r="F997" s="96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</row>
    <row r="998" customFormat="false" ht="15.75" hidden="false" customHeight="false" outlineLevel="0" collapsed="false">
      <c r="A998" s="95"/>
      <c r="B998" s="95"/>
      <c r="C998" s="95"/>
      <c r="D998" s="89"/>
      <c r="E998" s="96"/>
      <c r="F998" s="96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</row>
    <row r="999" customFormat="false" ht="15.75" hidden="false" customHeight="false" outlineLevel="0" collapsed="false">
      <c r="A999" s="95"/>
      <c r="B999" s="95"/>
      <c r="C999" s="95"/>
      <c r="D999" s="89"/>
      <c r="E999" s="96"/>
      <c r="F999" s="96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</row>
    <row r="1000" customFormat="false" ht="15.75" hidden="false" customHeight="false" outlineLevel="0" collapsed="false">
      <c r="A1000" s="95"/>
      <c r="B1000" s="95"/>
      <c r="C1000" s="95"/>
      <c r="D1000" s="89"/>
      <c r="E1000" s="96"/>
      <c r="F1000" s="96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</row>
  </sheetData>
  <conditionalFormatting sqref="G1:G1000">
    <cfRule type="cellIs" priority="2" operator="equal" aboveAverage="0" equalAverage="0" bottom="0" percent="0" rank="0" text="" dxfId="3">
      <formula>"Not found"</formula>
    </cfRule>
  </conditionalFormatting>
  <hyperlinks>
    <hyperlink ref="C2" r:id="rId1" display="Абдуллаева София Улугбековна"/>
    <hyperlink ref="C3" r:id="rId2" display="Абдуллоев Мехрубон Фарходович"/>
    <hyperlink ref="C4" r:id="rId3" display="Абодерин Абдуллах Аболаде"/>
    <hyperlink ref="C5" r:id="rId4" display="Абрамов Арсений Ярославович"/>
    <hyperlink ref="C6" r:id="rId5" display="Абрамов Егор Денисович"/>
    <hyperlink ref="C7" r:id="rId6" display="Абрамова Анастасия Сергеевна"/>
    <hyperlink ref="C8" r:id="rId7" display="Авдеев Владислав Александрович"/>
    <hyperlink ref="C9" r:id="rId8" display="Авенданьо Дуран Карлос Мануэль"/>
    <hyperlink ref="C10" r:id="rId9" display="Агаларова Айсел Нубарековна"/>
    <hyperlink ref="C11" r:id="rId10" display="Алвари Юсеф"/>
    <hyperlink ref="C12" r:id="rId11" display="Александрова Милана Сергеевна"/>
    <hyperlink ref="C13" r:id="rId12" display="Алтанхуяг Нямсурэн"/>
    <hyperlink ref="C14" r:id="rId13" display="Алтухов Владимир Александрович"/>
    <hyperlink ref="C15" r:id="rId14" display="Альшухайед Рами"/>
    <hyperlink ref="C16" r:id="rId15" display="Антонова Анна Игоревна"/>
    <hyperlink ref="C17" r:id="rId16" display="Ануфриев Андрей Сергеевич"/>
    <hyperlink ref="C18" r:id="rId17" display="Арцер Александр Александрович"/>
    <hyperlink ref="C19" r:id="rId18" display="Ахроров Кароматуллохон Фирдавсович"/>
    <hyperlink ref="C20" r:id="rId19" display="Ашралиева Дана Руслановна"/>
    <hyperlink ref="C21" r:id="rId20" display="Байбурина Карина Ильшатовна"/>
    <hyperlink ref="C22" r:id="rId21" display="Бармичев Григорий Андреевич"/>
    <hyperlink ref="C23" r:id="rId22" display="Бегун Фёдор Аркадьевич"/>
    <hyperlink ref="C24" r:id="rId23" display="Белов Вадим Алексеевич"/>
    <hyperlink ref="C25" r:id="rId24" display="Белхушет Мохаммед Сирадж"/>
    <hyperlink ref="C26" r:id="rId25" display="Бен Шамех Абделазиз"/>
    <hyperlink ref="C27" r:id="rId26" display="Бердышев Григорий Александрович"/>
    <hyperlink ref="C28" r:id="rId27" display="Бибиков Владислав Олегович"/>
    <hyperlink ref="C29" r:id="rId28" display="Бирюков Ян Владиславович"/>
    <hyperlink ref="C30" r:id="rId29" display="Бобровский Ярослав Андреевич"/>
    <hyperlink ref="C31" r:id="rId30" display="Боглаев Яромир Владимирович"/>
    <hyperlink ref="C32" r:id="rId31" display="Бойко Георгий Александрович"/>
    <hyperlink ref="C33" r:id="rId32" display="Бондаренко Андрей Владимирович"/>
    <hyperlink ref="C34" r:id="rId33" display="Бондаренко Денис Игоревич"/>
    <hyperlink ref="C35" r:id="rId34" display="Бражкин Егор Юрьевич"/>
    <hyperlink ref="C36" r:id="rId35" display="Букреев Степан Сергеевич"/>
    <hyperlink ref="C37" r:id="rId36" display="Булюсин Илья Олегович"/>
    <hyperlink ref="C38" r:id="rId37" display="Бушков Борис Кириллович"/>
    <hyperlink ref="C39" r:id="rId38" display="Бущик Иван Николаевич"/>
    <hyperlink ref="C40" r:id="rId39" display="Быков Тимур Антонович"/>
    <hyperlink ref="C41" r:id="rId40" display="Валиев Руслан Новруз Оглы"/>
    <hyperlink ref="C42" r:id="rId41" display="Васильев Александр Георгиевич"/>
    <hyperlink ref="C43" r:id="rId42" display="Ведерникова Анна Васильевна"/>
    <hyperlink ref="C44" r:id="rId43" display="Ведехин Александр Вадимович"/>
    <hyperlink ref="C45" r:id="rId44" display="Вернер Кристина Витальевна"/>
    <hyperlink ref="C46" r:id="rId45" display="Виджая Раден Гален Братасена"/>
    <hyperlink ref="C47" r:id="rId46" display="Вольнова Анна Александровна"/>
    <hyperlink ref="C48" r:id="rId47" display="Воробьев Юрий Константинович"/>
    <hyperlink ref="C49" r:id="rId48" display="Вохрамеев Глеб Дмитриевич"/>
    <hyperlink ref="C50" r:id="rId49" display="Гаврилюк Максим Юрьевич"/>
    <hyperlink ref="C51" r:id="rId50" display="Газиев Магомедсалам Мухтарович"/>
    <hyperlink ref="C52" r:id="rId51" display="Газизуллин Ринат Ришатович"/>
    <hyperlink ref="C53" r:id="rId52" display="Галак Екатерина Анатольевна"/>
    <hyperlink ref="C54" r:id="rId53" display="Герасимова Алина Юрьевна"/>
    <hyperlink ref="C55" r:id="rId54" display="Гетман Юлия Сергеевна"/>
    <hyperlink ref="C56" r:id="rId55" display="Гладкий Алексей Витальевич"/>
    <hyperlink ref="C57" r:id="rId56" display="Гладышев Иван Станиславович"/>
    <hyperlink ref="C58" r:id="rId57" display="Глушков Матвей Вениаминович"/>
    <hyperlink ref="C59" r:id="rId58" display="Гнездилов Дмитрий Вадимович"/>
    <hyperlink ref="C60" r:id="rId59" display="Гойхман Елена Яковлевна"/>
    <hyperlink ref="C61" r:id="rId60" display="Головач Владимир Сергеевич"/>
    <hyperlink ref="C62" r:id="rId61" display="Гончаров Максим Дмитриевич"/>
    <hyperlink ref="C63" r:id="rId62" display="Горелова Ульяна Андреевна"/>
    <hyperlink ref="C64" r:id="rId63" display="Горин Семён Дмитриевич"/>
    <hyperlink ref="C65" r:id="rId64" display="Горшелев Кирилл Валерьевич"/>
    <hyperlink ref="C66" r:id="rId65" display="Горшенин Владислав Дмитриевич"/>
    <hyperlink ref="C67" r:id="rId66" display="Гребенюк Леонид Сергеевич"/>
    <hyperlink ref="C68" r:id="rId67" display="Григорьев Даниил Александрович"/>
    <hyperlink ref="C69" r:id="rId68" display="Гришин Артем Евгеньевич"/>
    <hyperlink ref="C70" r:id="rId69" display="Гузалов Тимур Павлович"/>
    <hyperlink ref="C71" r:id="rId70" display="Гулахмадзода Имрон Бехруз"/>
    <hyperlink ref="C72" r:id="rId71" display="Давиденко Кирилл Павлович"/>
    <hyperlink ref="C73" r:id="rId72" display="Дараб Задех Захра"/>
    <hyperlink ref="C74" r:id="rId73" display="Девятых Павел Леонидович"/>
    <hyperlink ref="C75" r:id="rId74" display="Дедюкиева Иляна Валерьевна"/>
    <hyperlink ref="C76" r:id="rId75" display="Демакова Ксения Александровна"/>
    <hyperlink ref="C77" r:id="rId76" display="Деревянко Владимир Владимирович"/>
    <hyperlink ref="C78" r:id="rId77" display="Дереновский Илья Андреевич"/>
    <hyperlink ref="C79" r:id="rId78" display="Джантуре Назерке"/>
    <hyperlink ref="C80" r:id="rId79" display="Джунь Александра Васильевна"/>
    <hyperlink ref="C81" r:id="rId80" display="Димо Джофани Патрис Юпио"/>
    <hyperlink ref="C82" r:id="rId81" display="Динь Хюи Хоанг"/>
    <hyperlink ref="C83" r:id="rId82" display="Дмитриенко Давид"/>
    <hyperlink ref="C84" r:id="rId83" display="Добрышкин Владимир Александрович"/>
    <hyperlink ref="C85" r:id="rId84" display="Дорош Даниил Денисович"/>
    <hyperlink ref="C86" r:id="rId85" display="Дранкевич Алиса Игоревна"/>
    <hyperlink ref="C87" r:id="rId86" display="Дубовец Дмитрий Александрович"/>
    <hyperlink ref="C88" r:id="rId87" display="Дядев Владислав Александрович"/>
    <hyperlink ref="C89" r:id="rId88" display="Евграфов Артём Андреевич"/>
    <hyperlink ref="C90" r:id="rId89" display="Ежелева Дарья Витальевна"/>
    <hyperlink ref="C91" r:id="rId90" display="Елисеев Валерий Павлович"/>
    <hyperlink ref="C92" r:id="rId91" display="Еремин Денис Андреевич"/>
    <hyperlink ref="C93" r:id="rId92" display="Ерохин Егор Геннадьевич"/>
    <hyperlink ref="C94" r:id="rId93" display="Ершов Дмитрий Александрович"/>
    <hyperlink ref="C95" r:id="rId94" display="Жамбусинов Марк Ильясович"/>
    <hyperlink ref="C96" r:id="rId95" display="Жданович Владимир Андреевич"/>
    <hyperlink ref="C97" r:id="rId96" display="Жеребцов Михаил Александрович"/>
    <hyperlink ref="C98" r:id="rId97" display="Жукова Мария Владимировна"/>
    <hyperlink ref="C99" r:id="rId98" display="Журавлев Ярослав Денисович"/>
    <hyperlink ref="C100" r:id="rId99" display="Заголович Александр Андреевич"/>
    <hyperlink ref="C101" r:id="rId100" display="Зайцев Евгений Алексеевич"/>
    <hyperlink ref="C102" r:id="rId101" display="Западовников Алексей Викторович"/>
    <hyperlink ref="C103" r:id="rId102" display="Захарченко Андрей Сергеевич"/>
    <hyperlink ref="C104" r:id="rId103" display="Зенченков Павел Геннадьевич"/>
    <hyperlink ref="C105" r:id="rId104" display="Зотов Ярослав Сергеевич"/>
    <hyperlink ref="C106" r:id="rId105" display="Зубулина Юлия Максимовна"/>
    <hyperlink ref="C107" r:id="rId106" display="Зыков Андрей Алексеевич"/>
    <hyperlink ref="C108" r:id="rId107" display="Идрис Шуаибу"/>
    <hyperlink ref="C109" r:id="rId108" display="Ильичев Александр Игоревич"/>
    <hyperlink ref="C110" r:id="rId109" display="Ипантьев Иван"/>
    <hyperlink ref="C111" r:id="rId110" display="Исаева Ирина Антоновна"/>
    <hyperlink ref="C112" r:id="rId111" display="Ислам Мд Асифул"/>
    <hyperlink ref="C113" r:id="rId112" display="Ислам Минхаджул"/>
    <hyperlink ref="C114" r:id="rId113" display="Кабиров Данияр Умарович"/>
    <hyperlink ref="C115" r:id="rId114" display="Казакова Елена Денисовна"/>
    <hyperlink ref="C116" r:id="rId115" display="Казорин Даниил Дмитриевич"/>
    <hyperlink ref="C117" r:id="rId116" display="Кайгородова Александра Андреевна"/>
    <hyperlink ref="C118" r:id="rId117" display="Калакин Ярослав Евгеньевич"/>
    <hyperlink ref="C119" r:id="rId118" display="Калинин Дмитрий Викторович"/>
    <hyperlink ref="C120" r:id="rId119" display="Кантунья Саласар Жан Карло"/>
    <hyperlink ref="C121" r:id="rId120" display="Караганов Павел Эдуардович"/>
    <hyperlink ref="C122" r:id="rId121" display="Карасев Александр Дмитриевич"/>
    <hyperlink ref="C123" r:id="rId122" display="Карнажицкий Максим Романович"/>
    <hyperlink ref="C124" r:id="rId123" display="Картомышев Антон Романович"/>
    <hyperlink ref="C125" r:id="rId124" display="Картошкин Степан Романович"/>
    <hyperlink ref="C126" r:id="rId125" display="Касимов Аскар Маратович"/>
    <hyperlink ref="C127" r:id="rId126" display="Керимов Артём Тимурович"/>
    <hyperlink ref="C128" r:id="rId127" display="Клевцов Александр Сергеевич"/>
    <hyperlink ref="C129" r:id="rId128" display="Клеева Ульяна Сергеевна"/>
    <hyperlink ref="C130" r:id="rId129" display="Клименко Марк"/>
    <hyperlink ref="C131" r:id="rId130" display="Ковалев Александр Юрьевич"/>
    <hyperlink ref="C132" r:id="rId131" display="Ковалев Руслан Бабекович"/>
    <hyperlink ref="C133" r:id="rId132" display="Ковыршин Александр Сергеевич"/>
    <hyperlink ref="C134" r:id="rId133" display="Козаченко Данил Александрович"/>
    <hyperlink ref="C135" r:id="rId134" display="Козицкая Полина Николаевна"/>
    <hyperlink ref="C136" r:id="rId135" display="Козлова Ульяна Сергеевна"/>
    <hyperlink ref="C137" r:id="rId136" display="Корепанов Олег Сергеевич"/>
    <hyperlink ref="C138" r:id="rId137" display="Корепина Ксения Ильинична"/>
    <hyperlink ref="C139" r:id="rId138" display="Корнеев Глеб Евгеньевич"/>
    <hyperlink ref="C140" r:id="rId139" display="Корнеев Григорий Сергеевич"/>
    <hyperlink ref="C141" r:id="rId140" display="Коробов Алексей Сергеевич"/>
    <hyperlink ref="C142" r:id="rId141" display="Корхонен Артём Андреевич"/>
    <hyperlink ref="C143" r:id="rId142" display="Коршун Артём Сергеевич"/>
    <hyperlink ref="C144" r:id="rId143" display="Косов Артём Андреевич"/>
    <hyperlink ref="C145" r:id="rId144" display="Косогова Мария Александровна"/>
    <hyperlink ref="C146" r:id="rId145" display="Котиков Вадим Сергеевич"/>
    <hyperlink ref="C147" r:id="rId146" display="Кравцов Дмитрий Евгеньевич"/>
    <hyperlink ref="C148" r:id="rId147" display="Крамбалев Сергей Дмитриевич"/>
    <hyperlink ref="C149" r:id="rId148" display="Краснов Алексей Сергеевич"/>
    <hyperlink ref="C150" r:id="rId149" display="Красногорский Тимофей Алексеевич"/>
    <hyperlink ref="C151" r:id="rId150" display="Круль Михаил Валерьевич"/>
    <hyperlink ref="C152" r:id="rId151" display="Крупкина Варвара Александровна"/>
    <hyperlink ref="C153" r:id="rId152" display="Крутьев Дмитрий Эдуардович"/>
    <hyperlink ref="C154" r:id="rId153" display="Крылова Мария Дмитриевна"/>
    <hyperlink ref="C155" r:id="rId154" display="Крымин Дмитрий Алексеевич"/>
    <hyperlink ref="C156" r:id="rId155" display="Кудрявцев Матвей Иванович"/>
    <hyperlink ref="C157" r:id="rId156" display="Кудрявцева Руслана Сергеевна"/>
    <hyperlink ref="C158" r:id="rId157" display="Кудряшова Татьяна Юрьевна"/>
    <hyperlink ref="C159" r:id="rId158" display="Кузнецов Андрей Александрович"/>
    <hyperlink ref="C160" r:id="rId159" display="Кузнецов Андрей Романович"/>
    <hyperlink ref="C161" r:id="rId160" display="Кузнецов Матвей Сергеевич"/>
    <hyperlink ref="C162" r:id="rId161" display="Кузубов Константин Александрович"/>
    <hyperlink ref="C163" r:id="rId162" display="Кузьмин Дмитрий Анатольевич"/>
    <hyperlink ref="C164" r:id="rId163" display="Курагина Анастасия Романовна"/>
    <hyperlink ref="C165" r:id="rId164" display="Кутовой Вячеслав Андреевич"/>
    <hyperlink ref="C166" r:id="rId165" display="Кутузова Софья Руслановна"/>
    <hyperlink ref="C167" r:id="rId166" display="Лабин Макар Андреевич"/>
    <hyperlink ref="C168" r:id="rId167" display="Ларби Энох Асанте"/>
    <hyperlink ref="C169" r:id="rId168" display="Ларионов Владислав Васильевич"/>
    <hyperlink ref="C170" r:id="rId169" display="Ларютин Иван Николаевич"/>
    <hyperlink ref="C171" r:id="rId170" display="Лебедев Александр Алексеевич"/>
    <hyperlink ref="C172" r:id="rId171" display="Лебедев Алексей Алексеевич"/>
    <hyperlink ref="C173" r:id="rId172" display="Лебедев Артём Евгеньевич"/>
    <hyperlink ref="C174" r:id="rId173" display="Левин Эдуард"/>
    <hyperlink ref="C175" r:id="rId174" display="Легостаев Даниил Игоревич"/>
    <hyperlink ref="C176" r:id="rId175" display="Лежебоков Владислав Максимович"/>
    <hyperlink ref="C177" r:id="rId176" display="Лежнев Никита Сергеевич"/>
    <hyperlink ref="C178" r:id="rId177" display="Лейковский Никита Вячеславович"/>
    <hyperlink ref="C179" r:id="rId178" display="Леонтьева Арина Николаевна"/>
    <hyperlink ref="C180" r:id="rId179" display="Лернер Александра Владимировна"/>
    <hyperlink ref="C181" r:id="rId180" display="Лесников Владимир Алексеевич"/>
    <hyperlink ref="C182" r:id="rId181" display="Линейский Аким Евгеньевич"/>
    <hyperlink ref="C183" r:id="rId182" display="Лобанов Роман Артемович"/>
    <hyperlink ref="C184" r:id="rId183" display="Логачев Владислав Алексеевич"/>
    <hyperlink ref="C185" r:id="rId184" display="Лоскутов Прохор Александрович"/>
    <hyperlink ref="C186" r:id="rId185" display="Лужецкая Алёна Михайловна"/>
    <hyperlink ref="C187" r:id="rId186" display="Лукина Татьяна Александровна"/>
    <hyperlink ref="C188" r:id="rId187" display="Лукошников Дмитрий Викторович"/>
    <hyperlink ref="C189" r:id="rId188" display="Львова Елизавета Юрьевна"/>
    <hyperlink ref="C190" r:id="rId189" display="Любимов Артём Павлович"/>
    <hyperlink ref="C191" r:id="rId190" display="Макаров Матвей Романович"/>
    <hyperlink ref="C192" r:id="rId191" display="Макашин Андрей Михайлович"/>
    <hyperlink ref="C193" r:id="rId192" display="Макогон Ярослав Вадимович"/>
    <hyperlink ref="C194" r:id="rId193" display="Манасарян Милена Аваговна"/>
    <hyperlink ref="C195" r:id="rId194" display="Мантуш Даниил Валерьевич"/>
    <hyperlink ref="C196" r:id="rId195" display="Маренников Андрей Иванович"/>
    <hyperlink ref="C197" r:id="rId196" display="Маринин Матвей Александрович"/>
    <hyperlink ref="C198" r:id="rId197" display="Мартинес Родригес Мартин Адриан"/>
    <hyperlink ref="C199" r:id="rId198" display="Марьин Григорий Алексеевич"/>
    <hyperlink ref="C200" r:id="rId199" display="Матвеева Полина Павловна"/>
    <hyperlink ref="C201" r:id="rId200" display="Махмутова Диана Радиковна"/>
    <hyperlink ref="C202" r:id="rId201" display="Махфод Али"/>
    <hyperlink ref="C203" r:id="rId202" display="Мельник Фёдор Александрович"/>
    <hyperlink ref="C204" r:id="rId203" display="Меснянкин Максим Александрович"/>
    <hyperlink ref="C205" r:id="rId204" display="Михайлов Петр Сергеевич"/>
    <hyperlink ref="C206" r:id="rId205" display="Михайлов Степан Сергеевич"/>
    <hyperlink ref="C207" r:id="rId206" display="Мокшев Владимир Андреевич"/>
    <hyperlink ref="C208" r:id="rId207" display="Молоков Федор Михайлович"/>
    <hyperlink ref="C209" r:id="rId208" display="Мохамед Амр Ибрахим Гениди"/>
    <hyperlink ref="C210" r:id="rId209" display="Мохаммед Ахмед Атеф Абделлатиф Рефаи"/>
    <hyperlink ref="C211" r:id="rId210" display="Музыка Олег Сергеевич"/>
    <hyperlink ref="C212" r:id="rId211" display="Муродзода Мехрон"/>
    <hyperlink ref="C213" r:id="rId212" display="Мухамедьяров Артур Альбертович"/>
    <hyperlink ref="C214" r:id="rId213" display="Мухаммад Аднан Иса"/>
    <hyperlink ref="C215" r:id="rId214" display="Мухитдинов Азизхон"/>
    <hyperlink ref="C216" r:id="rId215" display="Мучокочоко Этель Тиней"/>
    <hyperlink ref="C217" r:id="rId216" display="Мыц Иван Евгеньевич"/>
    <hyperlink ref="C218" r:id="rId217" display="Мясников Артём Валерьевич"/>
    <hyperlink ref="C219" r:id="rId218" display="Набиев Тимофей Русланович"/>
    <hyperlink ref="C220" r:id="rId219" display="Нагорный Николай Викторович"/>
    <hyperlink ref="C221" r:id="rId220" display="Надольский Кирилл Николаевич"/>
    <hyperlink ref="C222" r:id="rId221" display="Назайкин Егор Евгеньевич"/>
    <hyperlink ref="C223" r:id="rId222" display="Наумов Мирослав"/>
    <hyperlink ref="C224" r:id="rId223" display="Некрасов Александр"/>
    <hyperlink ref="C225" r:id="rId224" display="Некрутенко Максим Владимирович"/>
    <hyperlink ref="C226" r:id="rId225" display="Немировская Татьяна Игоревна"/>
    <hyperlink ref="C227" r:id="rId226" display="Немыкин Ярослав Алексеевич"/>
    <hyperlink ref="C228" r:id="rId227" display="Нефедов Семён Александрович"/>
    <hyperlink ref="C229" r:id="rId228" display="Нигматчанов Никита Андреевич"/>
    <hyperlink ref="C230" r:id="rId229" display="Никитенко Матвей Олегович"/>
    <hyperlink ref="C231" r:id="rId230" display="Никифоров Кирилл Евгеньевич"/>
    <hyperlink ref="C232" r:id="rId231" display="Николаева Александра Владимировна"/>
    <hyperlink ref="C233" r:id="rId232" display="Николенко Максим Викторович"/>
    <hyperlink ref="C234" r:id="rId233" display="Новиков Даниил Дмитриевич"/>
    <hyperlink ref="C235" r:id="rId234" display="Новосельский Андрей Сергеевич"/>
    <hyperlink ref="C236" r:id="rId235" display="Образцов Максим Евгеньевич"/>
    <hyperlink ref="C237" r:id="rId236" display="Овлякулыев Расул"/>
    <hyperlink ref="C238" r:id="rId237" display="Овчинников Данил Михайлович"/>
    <hyperlink ref="C239" r:id="rId238" display="Ожеховский Александр"/>
    <hyperlink ref="C240" r:id="rId239" display="Оладое Майкл Блессинг"/>
    <hyperlink ref="C241" r:id="rId240" display="Орлов Игорь Юрьевич"/>
    <hyperlink ref="C242" r:id="rId241" display="Осипов Вячеслав Витальевич"/>
    <hyperlink ref="C243" r:id="rId242" display="Остапишин Никита Алексеевич"/>
    <hyperlink ref="C244" r:id="rId243" display="Павленко Иван Дмитриевич"/>
    <hyperlink ref="C245" r:id="rId244" display="Павлов Руслан Алексеевич"/>
    <hyperlink ref="C246" r:id="rId245" display="Павлов Эдгар Айсенович"/>
    <hyperlink ref="C247" r:id="rId246" display="Панченко Антон Дмитриевич"/>
    <hyperlink ref="C248" r:id="rId247" display="Паршуков Семён Алексеевич"/>
    <hyperlink ref="C249" r:id="rId248" display="Пахомов Даниил Михайлович"/>
    <hyperlink ref="C250" r:id="rId249" display="Пахомов Игнат Александрович"/>
    <hyperlink ref="C251" r:id="rId250" display="Петрова Полина Алексеевна"/>
    <hyperlink ref="C252" r:id="rId251" display="Пивоваров Роман Николаевич"/>
    <hyperlink ref="C253" r:id="rId252" display="Пиляров Руслан Назирович"/>
    <hyperlink ref="C254" r:id="rId253" display="Пингачева Лилия Сергеевна"/>
    <hyperlink ref="C255" r:id="rId254" display="Плющев Александр Алексеевич"/>
    <hyperlink ref="C256" r:id="rId255" display="Полищенко Николай Николаевич"/>
    <hyperlink ref="C257" r:id="rId256" display="Поллак Артур Дмитриевич"/>
    <hyperlink ref="C258" r:id="rId257" display="Полуянов Игорь Андреевич"/>
    <hyperlink ref="C259" r:id="rId258" display="Поляков Алексей Леонидович"/>
    <hyperlink ref="C260" r:id="rId259" display="Поляков Иван Романович"/>
    <hyperlink ref="C261" r:id="rId260" display="Попов Глеб Ильич"/>
    <hyperlink ref="C262" r:id="rId261" display="Попов Кирилл Олегович"/>
    <hyperlink ref="C263" r:id="rId262" display="Прокопенко Сергей Петрович"/>
    <hyperlink ref="C264" r:id="rId263" display="Прокофьев Роман Алексеевич"/>
    <hyperlink ref="C265" r:id="rId264" display="Пулотов Фирдавсджон Шухратович"/>
    <hyperlink ref="C266" r:id="rId265" display="Пчелкин Илья Игоревич"/>
    <hyperlink ref="C267" r:id="rId266" display="Пшеничников Артём Дмитриевич"/>
    <hyperlink ref="C268" r:id="rId267" display="Радченко Алина Александровна"/>
    <hyperlink ref="C269" r:id="rId268" display="Разгоняев Максим Витальевич"/>
    <hyperlink ref="C270" r:id="rId269" display="Разыграев Кирилл Сергеевич"/>
    <hyperlink ref="C271" r:id="rId270" display="Рахаман Мд Афифур"/>
    <hyperlink ref="C272" r:id="rId271" display="Рахман Матвей Максимович"/>
    <hyperlink ref="C273" r:id="rId272" display="Рашид Мд Шахриар"/>
    <hyperlink ref="C274" r:id="rId273" display="Резк Ахмед Мохамед Хамза"/>
    <hyperlink ref="C275" r:id="rId274" display="Резников Алексей Романович"/>
    <hyperlink ref="C276" r:id="rId275" display="Решетников Сергей Евгеньевич"/>
    <hyperlink ref="C277" r:id="rId276" display="Решетов Даниил Алексеевич"/>
    <hyperlink ref="C278" r:id="rId277" display="Рзаев Ахмед Меджидович"/>
    <hyperlink ref="C279" r:id="rId278" display="Ровкова Анастасия Сергеевна"/>
    <hyperlink ref="C280" r:id="rId279" display="Рогович Мария Михайловна"/>
    <hyperlink ref="C281" r:id="rId280" display="Родионов Максим Артемович"/>
    <hyperlink ref="C282" r:id="rId281" display="Русанов Сергей Константинович"/>
    <hyperlink ref="C283" r:id="rId282" display="Рутман Роман Ильич"/>
    <hyperlink ref="C284" r:id="rId283" display="Рыжаков Владислав Александрович"/>
    <hyperlink ref="C285" r:id="rId284" display="Рябов Георгий Алексеевич"/>
    <hyperlink ref="C286" r:id="rId285" display="Рябцева Вероника Александровна"/>
    <hyperlink ref="C287" r:id="rId286" display="Рязанов Григорий Алексеевич"/>
    <hyperlink ref="C288" r:id="rId287" display="Рязанов Никита Сергеевич"/>
    <hyperlink ref="C289" r:id="rId288" display="Савинов Дмитрий Александрович"/>
    <hyperlink ref="C290" r:id="rId289" display="Саитов Камиль Булатович"/>
    <hyperlink ref="C291" r:id="rId290" display="Саллум Фажр"/>
    <hyperlink ref="C292" r:id="rId291" display="Саломахин Тимур Евгеньевич"/>
    <hyperlink ref="C293" r:id="rId292" display="Салями Анас"/>
    <hyperlink ref="C294" r:id="rId293" display="Самсонова Владислава Николаевна"/>
    <hyperlink ref="C295" r:id="rId294" display="Санатин Дмитрий Павлович"/>
    <hyperlink ref="C296" r:id="rId295" display="Сарваров Тимур Фазаелович"/>
    <hyperlink ref="C297" r:id="rId296" display="Сафин Максим Владиславович"/>
    <hyperlink ref="C298" r:id="rId297" display="Сафронов Матвей Денисович"/>
    <hyperlink ref="C299" r:id="rId298" display="Светлов Илья Александрович"/>
    <hyperlink ref="C300" r:id="rId299" display="Свечников Константин Денисович"/>
    <hyperlink ref="C301" r:id="rId300" display="Свечников Фёдор Андреевич"/>
    <hyperlink ref="C302" r:id="rId301" display="Селецкий Никита Антонович"/>
    <hyperlink ref="C303" r:id="rId302" display="Семенов Егор Евгеньевич"/>
    <hyperlink ref="C304" r:id="rId303" display="Сенькина Мария Дмитриевна"/>
    <hyperlink ref="C305" r:id="rId304" display="Середа Вероника Сергеевна"/>
    <hyperlink ref="C306" r:id="rId305" display="Серенко Егор Игоревич"/>
    <hyperlink ref="C307" r:id="rId306" display="Сидоров Илья Александрович"/>
    <hyperlink ref="C308" r:id="rId307" display="Симакова Алёна Александровна"/>
    <hyperlink ref="C309" r:id="rId308" display="Симдякина Виктория Вадимовна"/>
    <hyperlink ref="C310" r:id="rId309" display="Симонов Лев Константинович"/>
    <hyperlink ref="C311" r:id="rId310" display="Симончук Захарий Александрович"/>
    <hyperlink ref="C312" r:id="rId311" display="Ситдиков Рафаэль Ильдусович"/>
    <hyperlink ref="C313" r:id="rId312" display="Скворцова Дарья Алексеевна"/>
    <hyperlink ref="C314" r:id="rId313" display="Слаев Амаль Ликманович"/>
    <hyperlink ref="C315" r:id="rId314" display="Сланов Артур Робертович"/>
    <hyperlink ref="C316" r:id="rId315" display="Слудная Виктория Евгеньевна"/>
    <hyperlink ref="C317" r:id="rId316" display="Смирнов Андрей Алексеевич"/>
    <hyperlink ref="C318" r:id="rId317" display="Смирнов Вадим Константинович"/>
    <hyperlink ref="C319" r:id="rId318" display="Смирнов Георгий Алексеевич"/>
    <hyperlink ref="C320" r:id="rId319" display="Снагин Станислав Максимович"/>
    <hyperlink ref="C321" r:id="rId320" display="Соболев Егор Викторович"/>
    <hyperlink ref="C322" r:id="rId321" display="Соколов Александр Алексеевич"/>
    <hyperlink ref="C323" r:id="rId322" display="Солдатов Кирилл Александрович"/>
    <hyperlink ref="C324" r:id="rId323" display="Соловьев Алексей Владиславович"/>
    <hyperlink ref="C325" r:id="rId324" display="Соловьев Даниил Дмитриевич"/>
    <hyperlink ref="C326" r:id="rId325" display="Сологубов Матвей Алексеевич"/>
    <hyperlink ref="C327" r:id="rId326" display="Софьин Вячеслав Евгеньевич"/>
    <hyperlink ref="C328" r:id="rId327" display="Стариков Арсений Дмитриевич"/>
    <hyperlink ref="C329" r:id="rId328" display="Старченко Александр Николаевич"/>
    <hyperlink ref="C330" r:id="rId329" display="Степанов Илья Алексеевич"/>
    <hyperlink ref="C331" r:id="rId330" display="Стивен Франклин Фейвор Ннаемека"/>
    <hyperlink ref="C332" r:id="rId331" display="Столбченко Илья Викторович"/>
    <hyperlink ref="C333" r:id="rId332" display="Стрелов Алексей Дмитриевич"/>
    <hyperlink ref="C334" r:id="rId333" display="Су Лянхуа"/>
    <hyperlink ref="C335" r:id="rId334" display="Суворов Роман Алексеевич"/>
    <hyperlink ref="C336" r:id="rId335" display="Суворов Станислав Денисович"/>
    <hyperlink ref="C337" r:id="rId336" display="Суина Полина Александровна"/>
    <hyperlink ref="C338" r:id="rId337" display="Сухачев Владимир Павлович"/>
    <hyperlink ref="C339" r:id="rId338" display="Сушко Александр Александрович"/>
    <hyperlink ref="C340" r:id="rId339" display="Сущева Мария Егоровна"/>
    <hyperlink ref="C341" r:id="rId340" display="Сычков Никита Сергеевич"/>
    <hyperlink ref="C342" r:id="rId341" display="Сыщиков Никита Сергеевич"/>
    <hyperlink ref="C343" r:id="rId342" display="Сюзен Керим"/>
    <hyperlink ref="C344" r:id="rId343" display="Тарасов Владислав Павлович"/>
    <hyperlink ref="C345" r:id="rId344" display="Тарасов Савелий Дмитриевич"/>
    <hyperlink ref="C346" r:id="rId345" display="Таратенко Алексей Вадимович"/>
    <hyperlink ref="C347" r:id="rId346" display="Тарнопольский Максим Николаевич"/>
    <hyperlink ref="C348" r:id="rId347" display="Таустоб Глеб Витальевич"/>
    <hyperlink ref="C349" r:id="rId348" display="Тенькаев Артём Антонович"/>
    <hyperlink ref="C350" r:id="rId349" display="Терехов Юрий Владимирович"/>
    <hyperlink ref="C351" r:id="rId350" display="Тимофеев Андрей Дмитриевич"/>
    <hyperlink ref="C352" r:id="rId351" display="Ткачев Денис Владимирович"/>
    <hyperlink ref="C353" r:id="rId352" display="Толмачёв Игорь Дмитриевич"/>
    <hyperlink ref="C354" r:id="rId353" display="Тонков Николай Павлович"/>
    <hyperlink ref="C355" r:id="rId354" display="Торбин Илья Александрович"/>
    <hyperlink ref="C356" r:id="rId355" display="Торопов Павел Кириллович"/>
    <hyperlink ref="C357" r:id="rId356" display="Трещева Олеся Дмитриевна"/>
    <hyperlink ref="C358" r:id="rId357" display="Тунчер Кадирхан"/>
    <hyperlink ref="C359" r:id="rId358" display="Турыгин Никита Денисович"/>
    <hyperlink ref="C360" r:id="rId359" display="Уджах Генри Агада"/>
    <hyperlink ref="C361" r:id="rId360" display="Умарова Амина Магомедгабибовна"/>
    <hyperlink ref="C362" r:id="rId361" display="Фадин Константин Алексеевич"/>
    <hyperlink ref="C363" r:id="rId362" display="Фан Тан Зунг"/>
    <hyperlink ref="C364" r:id="rId363" display="Федоров Дмитрий Александрович"/>
    <hyperlink ref="C365" r:id="rId364" display="Федяев Михаил Дмитриевич"/>
    <hyperlink ref="C366" r:id="rId365" display="Филимонов Глеб Максимович"/>
    <hyperlink ref="C367" r:id="rId366" display="Филимонов Никита Данилович"/>
    <hyperlink ref="C368" r:id="rId367" display="Фокин Владимир Сергеевич"/>
    <hyperlink ref="C369" r:id="rId368" display="Фонарева Виктория Сергеевна"/>
    <hyperlink ref="C370" r:id="rId369" display="Хабиров Тимур Рустемович"/>
    <hyperlink ref="C371" r:id="rId370" display="Хакимова Сафина Рамисовна"/>
    <hyperlink ref="C372" r:id="rId371" display="Харламов Владислав Сергеевич"/>
    <hyperlink ref="C373" r:id="rId372" display="Хахулина Светлана Алексеевна"/>
    <hyperlink ref="C374" r:id="rId373" display="Хоанг Тхе Вьет"/>
    <hyperlink ref="C375" r:id="rId374" display="Хойрыш Семён Алексеевич"/>
    <hyperlink ref="C376" r:id="rId375" display="Храбров Артём Алексеевич"/>
    <hyperlink ref="C377" r:id="rId376" display="Христофоров Виталий Николаевич"/>
    <hyperlink ref="C378" r:id="rId377" display="Целиков Даниил Александрович"/>
    <hyperlink ref="C379" r:id="rId378" display="Чабан Артём Викторович"/>
    <hyperlink ref="C380" r:id="rId379" display="Чайковский Никита Михайлович"/>
    <hyperlink ref="C381" r:id="rId380" display="Чебыкин Владимир Андреевич"/>
    <hyperlink ref="C382" r:id="rId381" display="Чжун Цзяцзюнь"/>
    <hyperlink ref="C383" r:id="rId382" display="Чимирев Антон Олегович"/>
    <hyperlink ref="C384" r:id="rId383" display="Чимирев Игорь Олегович"/>
    <hyperlink ref="C385" r:id="rId384" display="Чирима Инносент Кельвин"/>
    <hyperlink ref="C386" r:id="rId385" display="Чирков Денис Александрович"/>
    <hyperlink ref="C387" r:id="rId386" display="Чистякова Екатерина Александровна"/>
    <hyperlink ref="C388" r:id="rId387" display="Чупров Иван Андреевич"/>
    <hyperlink ref="C389" r:id="rId388" display="Чэнь Хаолинь"/>
    <hyperlink ref="C390" r:id="rId389" display="Шайкина Виктория Евгеньевна"/>
    <hyperlink ref="C391" r:id="rId390" display="Шарапова Алиса Алексеевна"/>
    <hyperlink ref="C392" r:id="rId391" display="Шашкин Игорь Витальевич"/>
    <hyperlink ref="C393" r:id="rId392" display="Швецов Егор Максимович"/>
    <hyperlink ref="C394" r:id="rId393" display="Шихахмедов Багаутдин Вадимович"/>
    <hyperlink ref="C395" r:id="rId394" display="Шишкин Артём Владимирович"/>
    <hyperlink ref="C396" r:id="rId395" display="Шкиптан Александр Олегович"/>
    <hyperlink ref="C397" r:id="rId396" display="Шмидько Елизавета Львовна"/>
    <hyperlink ref="C398" r:id="rId397" display="Шубин Егор Вячеславович"/>
    <hyperlink ref="C399" r:id="rId398" display="Шукаев Олег Евгеньевич"/>
    <hyperlink ref="C400" r:id="rId399" display="Шумахер Демид Сергеевич"/>
    <hyperlink ref="C401" r:id="rId400" display="Юксель Хамза"/>
    <hyperlink ref="C402" r:id="rId401" display="Яковлев Степан Сергеевич"/>
    <hyperlink ref="C403" r:id="rId402" display="Яременко Владимир Михайлович"/>
    <hyperlink ref="C404" r:id="rId403" display="Яруков Артём Дмитриевич"/>
    <hyperlink ref="C405" r:id="rId404" display="Ярулина Алесия Ильгамовна"/>
    <hyperlink ref="C406" r:id="rId405" display="Ясаков Артем Андреевич"/>
    <hyperlink ref="C407" r:id="rId406" display="Ортис Варгас Сара Хулиана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0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45192</v>
      </c>
      <c r="F2" s="15" t="n">
        <f aca="false">E2+14</f>
        <v>45206</v>
      </c>
      <c r="G2" s="15" t="n">
        <f aca="false">F2+14</f>
        <v>45220</v>
      </c>
      <c r="H2" s="15" t="n">
        <f aca="false">G2+14</f>
        <v>45234</v>
      </c>
      <c r="I2" s="15" t="n">
        <f aca="false">H2+14</f>
        <v>45248</v>
      </c>
      <c r="J2" s="15" t="n">
        <f aca="false">I2+14</f>
        <v>45262</v>
      </c>
      <c r="K2" s="15" t="n">
        <f aca="false">J2+14</f>
        <v>45276</v>
      </c>
      <c r="L2" s="15" t="n">
        <f aca="false">K2+14</f>
        <v>45290</v>
      </c>
      <c r="M2" s="16"/>
      <c r="N2" s="17"/>
      <c r="O2" s="17"/>
      <c r="P2" s="18"/>
      <c r="Q2" s="19" t="s">
        <v>17</v>
      </c>
      <c r="R2" s="19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94</v>
      </c>
      <c r="C3" s="27" t="s">
        <v>95</v>
      </c>
      <c r="D3" s="27" t="n">
        <v>464921</v>
      </c>
      <c r="E3" s="28" t="s">
        <v>45</v>
      </c>
      <c r="F3" s="28" t="s">
        <v>45</v>
      </c>
      <c r="G3" s="28" t="s">
        <v>45</v>
      </c>
      <c r="H3" s="28"/>
      <c r="I3" s="28" t="s">
        <v>518</v>
      </c>
      <c r="J3" s="28" t="s">
        <v>45</v>
      </c>
      <c r="K3" s="28"/>
      <c r="L3" s="28"/>
      <c r="M3" s="29"/>
      <c r="N3" s="29"/>
      <c r="O3" s="29"/>
      <c r="P3" s="30"/>
      <c r="Q3" s="31" t="n">
        <v>3892</v>
      </c>
      <c r="R3" s="39" t="s">
        <v>519</v>
      </c>
      <c r="S3" s="33" t="n">
        <v>13</v>
      </c>
      <c r="T3" s="34"/>
      <c r="U3" s="35" t="n">
        <v>2574</v>
      </c>
      <c r="V3" s="36" t="n">
        <v>45645</v>
      </c>
      <c r="W3" s="36" t="n">
        <v>45645</v>
      </c>
      <c r="X3" s="36" t="n">
        <v>45645</v>
      </c>
      <c r="Y3" s="37" t="n">
        <v>15</v>
      </c>
      <c r="Z3" s="38"/>
      <c r="AA3" s="39"/>
      <c r="AB3" s="39"/>
      <c r="AC3" s="40"/>
      <c r="AD3" s="41" t="n">
        <v>45675</v>
      </c>
      <c r="AE3" s="28" t="n">
        <v>6</v>
      </c>
      <c r="AF3" s="41"/>
      <c r="AG3" s="41"/>
      <c r="AH3" s="37" t="n">
        <f aca="false">SUM(AE3,AG3)</f>
        <v>6</v>
      </c>
      <c r="AI3" s="42"/>
      <c r="AJ3" s="43" t="str">
        <f aca="false">IF(AND(S3&gt;=12,Y3&gt;=12,AH3&gt;=6),"да","нет")</f>
        <v>да</v>
      </c>
      <c r="AK3" s="2"/>
      <c r="AL3" s="2" t="n">
        <v>30</v>
      </c>
      <c r="AM3" s="23" t="n">
        <f aca="false">SUM(S3,Y3,AA3,AB3,AH3,AL3,AK3)</f>
        <v>64</v>
      </c>
      <c r="AN3" s="29" t="str">
        <f aca="false">IF(AND(S3&gt;=12,Y3&gt;=12,AH3&gt;=6,AL3&gt;=24,AM3&gt;=60),"Зачет","Незачет")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109</v>
      </c>
      <c r="C4" s="27" t="s">
        <v>95</v>
      </c>
      <c r="D4" s="27" t="n">
        <v>465105</v>
      </c>
      <c r="E4" s="28" t="s">
        <v>45</v>
      </c>
      <c r="F4" s="28" t="s">
        <v>45</v>
      </c>
      <c r="G4" s="28" t="s">
        <v>45</v>
      </c>
      <c r="H4" s="28"/>
      <c r="I4" s="28" t="s">
        <v>45</v>
      </c>
      <c r="J4" s="28" t="s">
        <v>45</v>
      </c>
      <c r="K4" s="28"/>
      <c r="L4" s="28"/>
      <c r="M4" s="29"/>
      <c r="N4" s="29"/>
      <c r="O4" s="29"/>
      <c r="P4" s="30"/>
      <c r="Q4" s="31" t="n">
        <v>3984</v>
      </c>
      <c r="R4" s="39" t="s">
        <v>519</v>
      </c>
      <c r="S4" s="33" t="n">
        <v>19</v>
      </c>
      <c r="T4" s="34"/>
      <c r="U4" s="35" t="n">
        <v>4394</v>
      </c>
      <c r="V4" s="36" t="n">
        <v>45645</v>
      </c>
      <c r="W4" s="36" t="n">
        <v>45645</v>
      </c>
      <c r="X4" s="36" t="n">
        <v>45645</v>
      </c>
      <c r="Y4" s="37" t="n">
        <v>17</v>
      </c>
      <c r="Z4" s="38"/>
      <c r="AA4" s="39"/>
      <c r="AB4" s="39"/>
      <c r="AC4" s="40"/>
      <c r="AD4" s="41" t="n">
        <v>46014</v>
      </c>
      <c r="AE4" s="28" t="n">
        <v>9</v>
      </c>
      <c r="AF4" s="41"/>
      <c r="AG4" s="41"/>
      <c r="AH4" s="37" t="n">
        <f aca="false">SUM(AE4,AG4)</f>
        <v>9</v>
      </c>
      <c r="AI4" s="42"/>
      <c r="AJ4" s="43" t="str">
        <f aca="false">IF(AND(S4&gt;=12,Y4&gt;=12,AH4&gt;=6),"да","нет")</f>
        <v>да</v>
      </c>
      <c r="AK4" s="2"/>
      <c r="AL4" s="2" t="n">
        <v>40</v>
      </c>
      <c r="AM4" s="23" t="n">
        <f aca="false">SUM(S4,Y4,AA4,AB4,AH4,AL4,AK4)</f>
        <v>85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114</v>
      </c>
      <c r="C5" s="27" t="s">
        <v>95</v>
      </c>
      <c r="D5" s="27" t="n">
        <v>408076</v>
      </c>
      <c r="E5" s="28" t="s">
        <v>45</v>
      </c>
      <c r="F5" s="28" t="s">
        <v>45</v>
      </c>
      <c r="G5" s="28" t="s">
        <v>45</v>
      </c>
      <c r="H5" s="28"/>
      <c r="I5" s="28" t="s">
        <v>518</v>
      </c>
      <c r="J5" s="28" t="s">
        <v>45</v>
      </c>
      <c r="K5" s="28"/>
      <c r="L5" s="28"/>
      <c r="M5" s="29"/>
      <c r="N5" s="29"/>
      <c r="O5" s="29"/>
      <c r="P5" s="30"/>
      <c r="Q5" s="31" t="n">
        <v>3964</v>
      </c>
      <c r="R5" s="39" t="s">
        <v>519</v>
      </c>
      <c r="S5" s="33" t="n">
        <v>16</v>
      </c>
      <c r="T5" s="34"/>
      <c r="U5" s="35" t="n">
        <v>4369</v>
      </c>
      <c r="V5" s="36" t="n">
        <v>46010</v>
      </c>
      <c r="W5" s="36" t="n">
        <v>46010</v>
      </c>
      <c r="X5" s="36" t="n">
        <v>46010</v>
      </c>
      <c r="Y5" s="37" t="n">
        <v>16</v>
      </c>
      <c r="Z5" s="38"/>
      <c r="AA5" s="39"/>
      <c r="AB5" s="39"/>
      <c r="AC5" s="44"/>
      <c r="AD5" s="36" t="n">
        <v>45675</v>
      </c>
      <c r="AE5" s="28" t="n">
        <v>6</v>
      </c>
      <c r="AF5" s="36"/>
      <c r="AG5" s="36"/>
      <c r="AH5" s="37" t="n">
        <f aca="false">SUM(AE5,AG5)</f>
        <v>6</v>
      </c>
      <c r="AI5" s="42"/>
      <c r="AJ5" s="43" t="str">
        <f aca="false">IF(AND(S5&gt;=12,Y5&gt;=12,AH5&gt;=6),"да","нет")</f>
        <v>да</v>
      </c>
      <c r="AK5" s="2"/>
      <c r="AL5" s="2" t="n">
        <v>35</v>
      </c>
      <c r="AM5" s="23" t="n">
        <f aca="false">SUM(S5,Y5,AA5,AB5,AH5,AL5,AK5)</f>
        <v>73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178</v>
      </c>
      <c r="C6" s="27" t="s">
        <v>95</v>
      </c>
      <c r="D6" s="27" t="n">
        <v>465757</v>
      </c>
      <c r="E6" s="28" t="s">
        <v>518</v>
      </c>
      <c r="F6" s="28" t="s">
        <v>45</v>
      </c>
      <c r="G6" s="28" t="s">
        <v>45</v>
      </c>
      <c r="H6" s="28"/>
      <c r="I6" s="28" t="s">
        <v>45</v>
      </c>
      <c r="J6" s="28" t="s">
        <v>518</v>
      </c>
      <c r="K6" s="28"/>
      <c r="L6" s="28"/>
      <c r="M6" s="29"/>
      <c r="N6" s="29"/>
      <c r="O6" s="29"/>
      <c r="P6" s="30"/>
      <c r="Q6" s="31" t="n">
        <v>9264</v>
      </c>
      <c r="R6" s="98" t="n">
        <v>45715</v>
      </c>
      <c r="S6" s="33" t="n">
        <v>14</v>
      </c>
      <c r="T6" s="34"/>
      <c r="U6" s="35" t="n">
        <v>3589</v>
      </c>
      <c r="V6" s="36" t="n">
        <v>45726</v>
      </c>
      <c r="W6" s="36" t="n">
        <v>45726</v>
      </c>
      <c r="X6" s="36" t="n">
        <v>45726</v>
      </c>
      <c r="Y6" s="37" t="n">
        <v>12</v>
      </c>
      <c r="Z6" s="38"/>
      <c r="AA6" s="39"/>
      <c r="AB6" s="39"/>
      <c r="AC6" s="44"/>
      <c r="AD6" s="36" t="n">
        <v>45726</v>
      </c>
      <c r="AE6" s="28" t="n">
        <v>6</v>
      </c>
      <c r="AF6" s="36"/>
      <c r="AG6" s="36"/>
      <c r="AH6" s="37" t="n">
        <f aca="false">SUM(AE6,AG6)</f>
        <v>6</v>
      </c>
      <c r="AI6" s="42"/>
      <c r="AJ6" s="43" t="str">
        <f aca="false">IF(AND(S6&gt;=12,Y6&gt;=12,AH6&gt;=6),"да","нет")</f>
        <v>да</v>
      </c>
      <c r="AK6" s="2"/>
      <c r="AL6" s="2" t="n">
        <v>29</v>
      </c>
      <c r="AM6" s="23" t="n">
        <f aca="false">SUM(S6,Y6,AA6,AB6,AH6,AL6,AK6)</f>
        <v>61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206</v>
      </c>
      <c r="C7" s="27" t="s">
        <v>95</v>
      </c>
      <c r="D7" s="27" t="n">
        <v>465993</v>
      </c>
      <c r="E7" s="28" t="s">
        <v>45</v>
      </c>
      <c r="F7" s="28" t="s">
        <v>45</v>
      </c>
      <c r="G7" s="28" t="s">
        <v>45</v>
      </c>
      <c r="H7" s="28"/>
      <c r="I7" s="28" t="s">
        <v>45</v>
      </c>
      <c r="J7" s="28" t="s">
        <v>45</v>
      </c>
      <c r="K7" s="28"/>
      <c r="L7" s="28"/>
      <c r="M7" s="29"/>
      <c r="N7" s="29"/>
      <c r="O7" s="29"/>
      <c r="P7" s="30"/>
      <c r="Q7" s="31" t="n">
        <v>4345</v>
      </c>
      <c r="R7" s="39" t="s">
        <v>519</v>
      </c>
      <c r="S7" s="33" t="n">
        <v>18</v>
      </c>
      <c r="T7" s="34"/>
      <c r="U7" s="35" t="n">
        <v>7580</v>
      </c>
      <c r="V7" s="36" t="n">
        <v>45645</v>
      </c>
      <c r="W7" s="36" t="n">
        <v>45645</v>
      </c>
      <c r="X7" s="36" t="n">
        <v>45645</v>
      </c>
      <c r="Y7" s="37" t="n">
        <v>18</v>
      </c>
      <c r="Z7" s="38"/>
      <c r="AA7" s="39"/>
      <c r="AB7" s="39"/>
      <c r="AC7" s="40"/>
      <c r="AD7" s="41" t="n">
        <v>46014</v>
      </c>
      <c r="AE7" s="28" t="n">
        <v>10</v>
      </c>
      <c r="AF7" s="41"/>
      <c r="AG7" s="41"/>
      <c r="AH7" s="37" t="n">
        <f aca="false">SUM(AE7,AG7)</f>
        <v>10</v>
      </c>
      <c r="AI7" s="42"/>
      <c r="AJ7" s="43" t="str">
        <f aca="false">IF(AND(S7&gt;=12,Y7&gt;=12,AH7&gt;=6),"да","нет")</f>
        <v>да</v>
      </c>
      <c r="AK7" s="2" t="n">
        <v>3</v>
      </c>
      <c r="AL7" s="2" t="n">
        <v>40</v>
      </c>
      <c r="AM7" s="23" t="n">
        <f aca="false">SUM(S7,Y7,AA7,AB7,AH7,AL7,AK7)</f>
        <v>89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224</v>
      </c>
      <c r="C8" s="27" t="s">
        <v>95</v>
      </c>
      <c r="D8" s="27" t="n">
        <v>466138</v>
      </c>
      <c r="E8" s="28" t="s">
        <v>45</v>
      </c>
      <c r="F8" s="28" t="s">
        <v>45</v>
      </c>
      <c r="G8" s="28" t="s">
        <v>45</v>
      </c>
      <c r="H8" s="28"/>
      <c r="I8" s="28" t="s">
        <v>518</v>
      </c>
      <c r="J8" s="28" t="s">
        <v>518</v>
      </c>
      <c r="K8" s="28"/>
      <c r="L8" s="28"/>
      <c r="M8" s="29"/>
      <c r="N8" s="29"/>
      <c r="O8" s="29"/>
      <c r="P8" s="30"/>
      <c r="Q8" s="31" t="n">
        <v>2936</v>
      </c>
      <c r="R8" s="39" t="s">
        <v>519</v>
      </c>
      <c r="S8" s="33"/>
      <c r="T8" s="34"/>
      <c r="U8" s="35"/>
      <c r="V8" s="36"/>
      <c r="W8" s="36"/>
      <c r="X8" s="36"/>
      <c r="Y8" s="37"/>
      <c r="Z8" s="38"/>
      <c r="AA8" s="39"/>
      <c r="AB8" s="39"/>
      <c r="AC8" s="40"/>
      <c r="AD8" s="41"/>
      <c r="AE8" s="41"/>
      <c r="AF8" s="41"/>
      <c r="AG8" s="41"/>
      <c r="AH8" s="37" t="n">
        <f aca="false">SUM(AE8,AG8)</f>
        <v>0</v>
      </c>
      <c r="AI8" s="42"/>
      <c r="AJ8" s="43" t="str">
        <f aca="false">IF(AND(S8&gt;=12,Y8&gt;=12,AH8&gt;=6),"да","нет")</f>
        <v>нет</v>
      </c>
      <c r="AK8" s="2"/>
      <c r="AL8" s="2"/>
      <c r="AM8" s="23" t="n">
        <f aca="false">SUM(S8,Y8,AA8,AB8,AH8,AL8,AK8)</f>
        <v>0</v>
      </c>
      <c r="AN8" s="29" t="str">
        <f aca="false">IF(AND(S8&gt;=12,Y8&gt;=12,AH8&gt;=6,AL8&gt;=24,AM8&gt;=60),"Зачет","Незачет")</f>
        <v>Незачет</v>
      </c>
    </row>
    <row r="9" customFormat="false" ht="15.75" hidden="false" customHeight="false" outlineLevel="0" collapsed="false">
      <c r="A9" s="25" t="n">
        <v>7</v>
      </c>
      <c r="B9" s="26" t="s">
        <v>244</v>
      </c>
      <c r="C9" s="27" t="s">
        <v>95</v>
      </c>
      <c r="D9" s="27" t="n">
        <v>466310</v>
      </c>
      <c r="E9" s="28" t="s">
        <v>45</v>
      </c>
      <c r="F9" s="28" t="s">
        <v>45</v>
      </c>
      <c r="G9" s="28" t="s">
        <v>45</v>
      </c>
      <c r="H9" s="28"/>
      <c r="I9" s="28" t="s">
        <v>45</v>
      </c>
      <c r="J9" s="28" t="s">
        <v>45</v>
      </c>
      <c r="K9" s="28"/>
      <c r="L9" s="28"/>
      <c r="M9" s="29"/>
      <c r="N9" s="29"/>
      <c r="O9" s="29"/>
      <c r="P9" s="30"/>
      <c r="Q9" s="31" t="n">
        <v>8526</v>
      </c>
      <c r="R9" s="39" t="s">
        <v>519</v>
      </c>
      <c r="S9" s="33" t="n">
        <v>19</v>
      </c>
      <c r="T9" s="34"/>
      <c r="U9" s="35" t="n">
        <v>7437</v>
      </c>
      <c r="V9" s="36" t="n">
        <v>45645</v>
      </c>
      <c r="W9" s="36" t="n">
        <v>45645</v>
      </c>
      <c r="X9" s="36" t="n">
        <v>45645</v>
      </c>
      <c r="Y9" s="37" t="n">
        <v>20</v>
      </c>
      <c r="Z9" s="38"/>
      <c r="AA9" s="39"/>
      <c r="AB9" s="39"/>
      <c r="AC9" s="44"/>
      <c r="AD9" s="41" t="n">
        <v>46014</v>
      </c>
      <c r="AE9" s="28" t="n">
        <v>10</v>
      </c>
      <c r="AF9" s="36"/>
      <c r="AG9" s="36"/>
      <c r="AH9" s="37" t="n">
        <f aca="false">SUM(AE9,AG9)</f>
        <v>10</v>
      </c>
      <c r="AI9" s="42"/>
      <c r="AJ9" s="43" t="str">
        <f aca="false">IF(AND(S9&gt;=12,Y9&gt;=12,AH9&gt;=6),"да","нет")</f>
        <v>да</v>
      </c>
      <c r="AK9" s="2" t="n">
        <v>3</v>
      </c>
      <c r="AL9" s="2" t="n">
        <v>40</v>
      </c>
      <c r="AM9" s="23" t="n">
        <f aca="false">SUM(S9,Y9,AA9,AB9,AH9,AL9,AK9)</f>
        <v>92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245</v>
      </c>
      <c r="C10" s="27" t="s">
        <v>95</v>
      </c>
      <c r="D10" s="27" t="n">
        <v>466316</v>
      </c>
      <c r="E10" s="28" t="s">
        <v>45</v>
      </c>
      <c r="F10" s="28" t="s">
        <v>45</v>
      </c>
      <c r="G10" s="28" t="s">
        <v>45</v>
      </c>
      <c r="H10" s="28"/>
      <c r="I10" s="28" t="s">
        <v>45</v>
      </c>
      <c r="J10" s="28" t="s">
        <v>45</v>
      </c>
      <c r="K10" s="28"/>
      <c r="L10" s="28"/>
      <c r="M10" s="29"/>
      <c r="N10" s="29"/>
      <c r="O10" s="29"/>
      <c r="P10" s="30"/>
      <c r="Q10" s="31" t="n">
        <v>8576</v>
      </c>
      <c r="R10" s="39" t="s">
        <v>519</v>
      </c>
      <c r="S10" s="33" t="n">
        <v>17</v>
      </c>
      <c r="T10" s="34"/>
      <c r="U10" s="35" t="n">
        <v>2436</v>
      </c>
      <c r="V10" s="36" t="n">
        <v>45673</v>
      </c>
      <c r="W10" s="36" t="n">
        <v>45673</v>
      </c>
      <c r="X10" s="36" t="n">
        <v>45673</v>
      </c>
      <c r="Y10" s="37" t="n">
        <v>15</v>
      </c>
      <c r="Z10" s="38"/>
      <c r="AA10" s="39"/>
      <c r="AB10" s="39"/>
      <c r="AC10" s="40"/>
      <c r="AD10" s="41" t="n">
        <v>45675</v>
      </c>
      <c r="AE10" s="28" t="n">
        <v>6</v>
      </c>
      <c r="AF10" s="41"/>
      <c r="AG10" s="41"/>
      <c r="AH10" s="37" t="n">
        <f aca="false">SUM(AE10,AG10)</f>
        <v>6</v>
      </c>
      <c r="AI10" s="42"/>
      <c r="AJ10" s="43" t="str">
        <f aca="false">IF(AND(S10&gt;=12,Y10&gt;=12,AH10&gt;=6),"да","нет")</f>
        <v>да</v>
      </c>
      <c r="AK10" s="2"/>
      <c r="AL10" s="2" t="n">
        <v>34</v>
      </c>
      <c r="AM10" s="23" t="n">
        <f aca="false">SUM(S10,Y10,AA10,AB10,AH10,AL10,AK10)</f>
        <v>72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302</v>
      </c>
      <c r="C11" s="27" t="s">
        <v>95</v>
      </c>
      <c r="D11" s="27" t="n">
        <v>466690</v>
      </c>
      <c r="E11" s="28" t="s">
        <v>45</v>
      </c>
      <c r="F11" s="28" t="s">
        <v>45</v>
      </c>
      <c r="G11" s="28" t="s">
        <v>45</v>
      </c>
      <c r="H11" s="28"/>
      <c r="I11" s="28" t="s">
        <v>45</v>
      </c>
      <c r="J11" s="28" t="s">
        <v>518</v>
      </c>
      <c r="K11" s="28"/>
      <c r="L11" s="28"/>
      <c r="M11" s="29"/>
      <c r="N11" s="29"/>
      <c r="O11" s="29"/>
      <c r="P11" s="30"/>
      <c r="Q11" s="31" t="n">
        <v>5307</v>
      </c>
      <c r="R11" s="39" t="s">
        <v>519</v>
      </c>
      <c r="S11" s="33" t="n">
        <v>19</v>
      </c>
      <c r="T11" s="34"/>
      <c r="U11" s="35" t="n">
        <v>7865</v>
      </c>
      <c r="V11" s="36" t="n">
        <v>45645</v>
      </c>
      <c r="W11" s="36" t="n">
        <v>45645</v>
      </c>
      <c r="X11" s="36" t="n">
        <v>45645</v>
      </c>
      <c r="Y11" s="37" t="n">
        <v>17</v>
      </c>
      <c r="Z11" s="38"/>
      <c r="AA11" s="39"/>
      <c r="AB11" s="39"/>
      <c r="AC11" s="40"/>
      <c r="AD11" s="41" t="n">
        <v>46014</v>
      </c>
      <c r="AE11" s="28" t="n">
        <v>10</v>
      </c>
      <c r="AF11" s="41"/>
      <c r="AG11" s="41"/>
      <c r="AH11" s="37" t="n">
        <f aca="false">SUM(AE11,AG11)</f>
        <v>10</v>
      </c>
      <c r="AI11" s="42"/>
      <c r="AJ11" s="43" t="str">
        <f aca="false">IF(AND(S11&gt;=12,Y11&gt;=12,AH11&gt;=6),"да","нет")</f>
        <v>да</v>
      </c>
      <c r="AK11" s="2" t="n">
        <v>3</v>
      </c>
      <c r="AL11" s="2" t="n">
        <v>40</v>
      </c>
      <c r="AM11" s="23" t="n">
        <f aca="false">SUM(S11,Y11,AA11,AB11,AH11,AL11,AK11)</f>
        <v>89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325</v>
      </c>
      <c r="C12" s="27" t="s">
        <v>95</v>
      </c>
      <c r="D12" s="27" t="n">
        <v>466853</v>
      </c>
      <c r="E12" s="28" t="s">
        <v>45</v>
      </c>
      <c r="F12" s="28" t="s">
        <v>45</v>
      </c>
      <c r="G12" s="28" t="s">
        <v>45</v>
      </c>
      <c r="H12" s="28"/>
      <c r="I12" s="28" t="s">
        <v>45</v>
      </c>
      <c r="J12" s="28" t="s">
        <v>45</v>
      </c>
      <c r="K12" s="28"/>
      <c r="L12" s="28"/>
      <c r="M12" s="29"/>
      <c r="N12" s="29"/>
      <c r="O12" s="29"/>
      <c r="P12" s="30"/>
      <c r="Q12" s="31" t="n">
        <v>6726</v>
      </c>
      <c r="R12" s="39" t="s">
        <v>519</v>
      </c>
      <c r="S12" s="33" t="n">
        <v>15</v>
      </c>
      <c r="T12" s="34"/>
      <c r="U12" s="35" t="n">
        <v>4357</v>
      </c>
      <c r="V12" s="36" t="n">
        <v>45645</v>
      </c>
      <c r="W12" s="36" t="n">
        <v>45645</v>
      </c>
      <c r="X12" s="36" t="n">
        <v>45645</v>
      </c>
      <c r="Y12" s="37" t="n">
        <v>17</v>
      </c>
      <c r="Z12" s="38"/>
      <c r="AA12" s="39"/>
      <c r="AB12" s="39"/>
      <c r="AC12" s="40"/>
      <c r="AD12" s="41" t="n">
        <v>45675</v>
      </c>
      <c r="AE12" s="28" t="n">
        <v>6</v>
      </c>
      <c r="AF12" s="41"/>
      <c r="AG12" s="41"/>
      <c r="AH12" s="37" t="n">
        <f aca="false">SUM(AE12,AG12)</f>
        <v>6</v>
      </c>
      <c r="AI12" s="42"/>
      <c r="AJ12" s="43" t="str">
        <f aca="false">IF(AND(S12&gt;=12,Y12&gt;=12,AH12&gt;=6),"да","нет")</f>
        <v>да</v>
      </c>
      <c r="AK12" s="2"/>
      <c r="AL12" s="2" t="n">
        <v>39</v>
      </c>
      <c r="AM12" s="23" t="n">
        <f aca="false">SUM(S12,Y12,AA12,AB12,AH12,AL12,AK12)</f>
        <v>77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366</v>
      </c>
      <c r="C13" s="27" t="s">
        <v>95</v>
      </c>
      <c r="D13" s="27" t="n">
        <v>467204</v>
      </c>
      <c r="E13" s="28" t="s">
        <v>45</v>
      </c>
      <c r="F13" s="28" t="s">
        <v>45</v>
      </c>
      <c r="G13" s="28" t="s">
        <v>45</v>
      </c>
      <c r="H13" s="28"/>
      <c r="I13" s="28" t="s">
        <v>45</v>
      </c>
      <c r="J13" s="28" t="s">
        <v>45</v>
      </c>
      <c r="K13" s="28"/>
      <c r="L13" s="28"/>
      <c r="M13" s="29"/>
      <c r="N13" s="29"/>
      <c r="O13" s="29"/>
      <c r="P13" s="30"/>
      <c r="Q13" s="31" t="n">
        <v>9765</v>
      </c>
      <c r="R13" s="39" t="s">
        <v>519</v>
      </c>
      <c r="S13" s="33" t="n">
        <v>18</v>
      </c>
      <c r="T13" s="34"/>
      <c r="U13" s="35" t="n">
        <v>4780</v>
      </c>
      <c r="V13" s="36" t="n">
        <v>45645</v>
      </c>
      <c r="W13" s="36" t="n">
        <v>45645</v>
      </c>
      <c r="X13" s="36" t="n">
        <v>45645</v>
      </c>
      <c r="Y13" s="37" t="n">
        <v>17</v>
      </c>
      <c r="Z13" s="38"/>
      <c r="AA13" s="39"/>
      <c r="AB13" s="39"/>
      <c r="AC13" s="40"/>
      <c r="AD13" s="41" t="n">
        <v>46014</v>
      </c>
      <c r="AE13" s="28" t="n">
        <v>10</v>
      </c>
      <c r="AF13" s="41"/>
      <c r="AG13" s="41"/>
      <c r="AH13" s="37" t="n">
        <f aca="false">SUM(AE13,AG13)</f>
        <v>10</v>
      </c>
      <c r="AI13" s="42"/>
      <c r="AJ13" s="43" t="str">
        <f aca="false">IF(AND(S13&gt;=12,Y13&gt;=12,AH13&gt;=6),"да","нет")</f>
        <v>да</v>
      </c>
      <c r="AK13" s="2" t="n">
        <v>3</v>
      </c>
      <c r="AL13" s="2" t="n">
        <v>40</v>
      </c>
      <c r="AM13" s="23" t="n">
        <f aca="false">SUM(S13,Y13,AA13,AB13,AH13,AL13,AK13)</f>
        <v>88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391</v>
      </c>
      <c r="C14" s="27" t="s">
        <v>95</v>
      </c>
      <c r="D14" s="27" t="n">
        <v>372451</v>
      </c>
      <c r="E14" s="28" t="s">
        <v>45</v>
      </c>
      <c r="F14" s="28" t="s">
        <v>45</v>
      </c>
      <c r="G14" s="28" t="s">
        <v>518</v>
      </c>
      <c r="H14" s="28"/>
      <c r="I14" s="28" t="s">
        <v>518</v>
      </c>
      <c r="J14" s="28" t="s">
        <v>518</v>
      </c>
      <c r="K14" s="28"/>
      <c r="L14" s="28"/>
      <c r="M14" s="29"/>
      <c r="N14" s="29"/>
      <c r="O14" s="29"/>
      <c r="P14" s="30"/>
      <c r="Q14" s="31" t="n">
        <v>8873</v>
      </c>
      <c r="R14" s="32"/>
      <c r="S14" s="33"/>
      <c r="T14" s="34"/>
      <c r="U14" s="35"/>
      <c r="V14" s="36"/>
      <c r="W14" s="36"/>
      <c r="X14" s="36"/>
      <c r="Y14" s="37"/>
      <c r="Z14" s="38"/>
      <c r="AA14" s="39"/>
      <c r="AB14" s="39"/>
      <c r="AC14" s="40"/>
      <c r="AD14" s="41"/>
      <c r="AE14" s="41"/>
      <c r="AF14" s="41"/>
      <c r="AG14" s="41"/>
      <c r="AH14" s="37" t="n">
        <f aca="false">SUM(AE14,AG14)</f>
        <v>0</v>
      </c>
      <c r="AI14" s="42"/>
      <c r="AJ14" s="43" t="str">
        <f aca="false">IF(AND(S14&gt;=12,Y14&gt;=12,AH14&gt;=6),"да","нет")</f>
        <v>нет</v>
      </c>
      <c r="AK14" s="2"/>
      <c r="AL14" s="2"/>
      <c r="AM14" s="23" t="n">
        <f aca="false">SUM(S14,Y14,AA14,AB14,AH14,AL14,AK14)</f>
        <v>0</v>
      </c>
      <c r="AN14" s="29" t="str">
        <f aca="false">IF(AND(S14&gt;=12,Y14&gt;=12,AH14&gt;=6,AL14&gt;=24,AM14&gt;=60),"Зачет","Незачет")</f>
        <v>Незачет</v>
      </c>
    </row>
    <row r="15" customFormat="false" ht="15.75" hidden="false" customHeight="false" outlineLevel="0" collapsed="false">
      <c r="A15" s="25" t="n">
        <v>13</v>
      </c>
      <c r="B15" s="26" t="s">
        <v>401</v>
      </c>
      <c r="C15" s="27" t="s">
        <v>95</v>
      </c>
      <c r="D15" s="27" t="n">
        <v>467393</v>
      </c>
      <c r="E15" s="28" t="s">
        <v>45</v>
      </c>
      <c r="F15" s="28" t="s">
        <v>45</v>
      </c>
      <c r="G15" s="28" t="s">
        <v>45</v>
      </c>
      <c r="H15" s="28"/>
      <c r="I15" s="28" t="s">
        <v>45</v>
      </c>
      <c r="J15" s="28" t="s">
        <v>45</v>
      </c>
      <c r="K15" s="28"/>
      <c r="L15" s="28"/>
      <c r="M15" s="29"/>
      <c r="N15" s="29"/>
      <c r="O15" s="29"/>
      <c r="P15" s="30"/>
      <c r="Q15" s="31" t="n">
        <v>7352</v>
      </c>
      <c r="R15" s="39" t="s">
        <v>519</v>
      </c>
      <c r="S15" s="33" t="n">
        <v>17</v>
      </c>
      <c r="T15" s="34"/>
      <c r="U15" s="35" t="n">
        <v>3755</v>
      </c>
      <c r="V15" s="36" t="n">
        <v>45673</v>
      </c>
      <c r="W15" s="36" t="n">
        <v>45673</v>
      </c>
      <c r="X15" s="36" t="n">
        <v>45673</v>
      </c>
      <c r="Y15" s="37" t="n">
        <v>15</v>
      </c>
      <c r="Z15" s="38"/>
      <c r="AA15" s="39"/>
      <c r="AB15" s="39"/>
      <c r="AC15" s="40"/>
      <c r="AD15" s="41" t="n">
        <v>45675</v>
      </c>
      <c r="AE15" s="28" t="n">
        <v>6</v>
      </c>
      <c r="AF15" s="41"/>
      <c r="AG15" s="41"/>
      <c r="AH15" s="37" t="n">
        <f aca="false">SUM(AE15,AG15)</f>
        <v>6</v>
      </c>
      <c r="AI15" s="42"/>
      <c r="AJ15" s="43" t="str">
        <f aca="false">IF(AND(S15&gt;=12,Y15&gt;=12,AH15&gt;=6),"да","нет")</f>
        <v>да</v>
      </c>
      <c r="AK15" s="2"/>
      <c r="AL15" s="37" t="n">
        <v>34</v>
      </c>
      <c r="AM15" s="23" t="n">
        <f aca="false">SUM(S15,Y15,AA15,AB15,AH15,AL15,AK15)</f>
        <v>72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407</v>
      </c>
      <c r="C16" s="27" t="s">
        <v>95</v>
      </c>
      <c r="D16" s="27" t="n">
        <v>472474</v>
      </c>
      <c r="E16" s="28" t="s">
        <v>45</v>
      </c>
      <c r="F16" s="28" t="s">
        <v>45</v>
      </c>
      <c r="G16" s="28" t="s">
        <v>518</v>
      </c>
      <c r="H16" s="28"/>
      <c r="I16" s="28" t="s">
        <v>45</v>
      </c>
      <c r="J16" s="28" t="s">
        <v>45</v>
      </c>
      <c r="K16" s="28"/>
      <c r="L16" s="28"/>
      <c r="M16" s="29"/>
      <c r="N16" s="29"/>
      <c r="O16" s="29"/>
      <c r="P16" s="30"/>
      <c r="Q16" s="31" t="n">
        <v>8266</v>
      </c>
      <c r="R16" s="39" t="s">
        <v>519</v>
      </c>
      <c r="S16" s="33" t="n">
        <v>17</v>
      </c>
      <c r="T16" s="34"/>
      <c r="U16" s="35" t="n">
        <v>4796</v>
      </c>
      <c r="V16" s="41" t="n">
        <v>45673</v>
      </c>
      <c r="W16" s="36" t="n">
        <v>45673</v>
      </c>
      <c r="X16" s="36" t="n">
        <v>45673</v>
      </c>
      <c r="Y16" s="37" t="n">
        <v>14</v>
      </c>
      <c r="Z16" s="38"/>
      <c r="AA16" s="39"/>
      <c r="AB16" s="39"/>
      <c r="AC16" s="40"/>
      <c r="AD16" s="41" t="n">
        <v>45675</v>
      </c>
      <c r="AE16" s="28" t="n">
        <v>6</v>
      </c>
      <c r="AF16" s="41"/>
      <c r="AG16" s="41"/>
      <c r="AH16" s="37" t="n">
        <f aca="false">SUM(AE16,AG16)</f>
        <v>6</v>
      </c>
      <c r="AI16" s="42"/>
      <c r="AJ16" s="43" t="str">
        <f aca="false">IF(AND(S16&gt;=12,Y16&gt;=12,AH16&gt;=6),"да","нет")</f>
        <v>да</v>
      </c>
      <c r="AK16" s="2"/>
      <c r="AL16" s="2" t="n">
        <v>40</v>
      </c>
      <c r="AM16" s="23" t="n">
        <f aca="false">SUM(S16,Y16,AA16,AB16,AH16,AL16,AK16)</f>
        <v>77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423</v>
      </c>
      <c r="C17" s="27" t="s">
        <v>95</v>
      </c>
      <c r="D17" s="27" t="n">
        <v>467546</v>
      </c>
      <c r="E17" s="28" t="s">
        <v>518</v>
      </c>
      <c r="F17" s="28" t="s">
        <v>45</v>
      </c>
      <c r="G17" s="28" t="s">
        <v>45</v>
      </c>
      <c r="H17" s="28"/>
      <c r="I17" s="28" t="s">
        <v>518</v>
      </c>
      <c r="J17" s="28" t="s">
        <v>45</v>
      </c>
      <c r="K17" s="28"/>
      <c r="L17" s="28"/>
      <c r="M17" s="29"/>
      <c r="N17" s="29"/>
      <c r="O17" s="29"/>
      <c r="P17" s="30"/>
      <c r="Q17" s="31" t="n">
        <v>9654</v>
      </c>
      <c r="R17" s="39" t="s">
        <v>519</v>
      </c>
      <c r="S17" s="33" t="n">
        <v>15</v>
      </c>
      <c r="T17" s="34"/>
      <c r="U17" s="35" t="n">
        <v>6548</v>
      </c>
      <c r="V17" s="36" t="n">
        <v>45645</v>
      </c>
      <c r="W17" s="36" t="n">
        <v>45645</v>
      </c>
      <c r="X17" s="36" t="n">
        <v>45645</v>
      </c>
      <c r="Y17" s="37" t="n">
        <v>17</v>
      </c>
      <c r="Z17" s="38"/>
      <c r="AA17" s="39"/>
      <c r="AB17" s="39"/>
      <c r="AC17" s="44"/>
      <c r="AD17" s="36" t="n">
        <v>45675</v>
      </c>
      <c r="AE17" s="28" t="n">
        <v>6</v>
      </c>
      <c r="AF17" s="36"/>
      <c r="AG17" s="36"/>
      <c r="AH17" s="37" t="n">
        <f aca="false">SUM(AE17,AG17)</f>
        <v>6</v>
      </c>
      <c r="AI17" s="42"/>
      <c r="AJ17" s="43" t="str">
        <f aca="false">IF(AND(S17&gt;=12,Y17&gt;=12,AH17&gt;=6),"да","нет")</f>
        <v>да</v>
      </c>
      <c r="AK17" s="2"/>
      <c r="AL17" s="2" t="n">
        <v>36</v>
      </c>
      <c r="AM17" s="23" t="n">
        <f aca="false">SUM(S17,Y17,AA17,AB17,AH17,AL17,AK17)</f>
        <v>74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445</v>
      </c>
      <c r="C18" s="27" t="s">
        <v>95</v>
      </c>
      <c r="D18" s="27" t="n">
        <v>467669</v>
      </c>
      <c r="E18" s="28" t="s">
        <v>45</v>
      </c>
      <c r="F18" s="28" t="s">
        <v>45</v>
      </c>
      <c r="G18" s="28" t="s">
        <v>45</v>
      </c>
      <c r="H18" s="28"/>
      <c r="I18" s="28" t="s">
        <v>45</v>
      </c>
      <c r="J18" s="28" t="s">
        <v>518</v>
      </c>
      <c r="K18" s="28"/>
      <c r="L18" s="28"/>
      <c r="M18" s="29"/>
      <c r="N18" s="29"/>
      <c r="O18" s="29"/>
      <c r="P18" s="30"/>
      <c r="Q18" s="31" t="n">
        <v>4694</v>
      </c>
      <c r="R18" s="39" t="s">
        <v>519</v>
      </c>
      <c r="S18" s="33" t="n">
        <v>19</v>
      </c>
      <c r="T18" s="34"/>
      <c r="U18" s="35" t="n">
        <v>2586</v>
      </c>
      <c r="V18" s="36" t="n">
        <v>45645</v>
      </c>
      <c r="W18" s="36" t="n">
        <v>45645</v>
      </c>
      <c r="X18" s="36" t="n">
        <v>45645</v>
      </c>
      <c r="Y18" s="37" t="n">
        <v>19</v>
      </c>
      <c r="Z18" s="38"/>
      <c r="AA18" s="39"/>
      <c r="AB18" s="39"/>
      <c r="AC18" s="40"/>
      <c r="AD18" s="41" t="n">
        <v>46014</v>
      </c>
      <c r="AE18" s="28" t="n">
        <v>8</v>
      </c>
      <c r="AF18" s="41"/>
      <c r="AG18" s="41"/>
      <c r="AH18" s="37" t="n">
        <f aca="false">SUM(AE18,AG18)</f>
        <v>8</v>
      </c>
      <c r="AI18" s="42"/>
      <c r="AJ18" s="43" t="str">
        <f aca="false">IF(AND(S18&gt;=12,Y18&gt;=12,AH18&gt;=6),"да","нет")</f>
        <v>да</v>
      </c>
      <c r="AK18" s="2"/>
      <c r="AL18" s="2" t="n">
        <v>40</v>
      </c>
      <c r="AM18" s="23" t="n">
        <f aca="false">SUM(S18,Y18,AA18,AB18,AH18,AL18,AK18)</f>
        <v>86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464</v>
      </c>
      <c r="C19" s="27" t="s">
        <v>95</v>
      </c>
      <c r="D19" s="27" t="n">
        <v>467846</v>
      </c>
      <c r="E19" s="28" t="s">
        <v>45</v>
      </c>
      <c r="F19" s="28" t="s">
        <v>45</v>
      </c>
      <c r="G19" s="28" t="s">
        <v>45</v>
      </c>
      <c r="H19" s="28"/>
      <c r="I19" s="28" t="s">
        <v>45</v>
      </c>
      <c r="J19" s="28" t="s">
        <v>518</v>
      </c>
      <c r="K19" s="28"/>
      <c r="L19" s="28"/>
      <c r="M19" s="29"/>
      <c r="N19" s="29"/>
      <c r="O19" s="29"/>
      <c r="P19" s="30"/>
      <c r="Q19" s="31" t="n">
        <v>8734</v>
      </c>
      <c r="R19" s="39" t="s">
        <v>519</v>
      </c>
      <c r="S19" s="33" t="n">
        <v>19</v>
      </c>
      <c r="T19" s="34"/>
      <c r="U19" s="35" t="n">
        <v>7436</v>
      </c>
      <c r="V19" s="36" t="n">
        <v>46010</v>
      </c>
      <c r="W19" s="36" t="n">
        <v>46010</v>
      </c>
      <c r="X19" s="36" t="n">
        <v>46010</v>
      </c>
      <c r="Y19" s="37" t="n">
        <v>18</v>
      </c>
      <c r="Z19" s="38"/>
      <c r="AA19" s="39"/>
      <c r="AB19" s="39"/>
      <c r="AC19" s="40"/>
      <c r="AD19" s="41" t="n">
        <v>46014</v>
      </c>
      <c r="AE19" s="28" t="n">
        <v>9</v>
      </c>
      <c r="AF19" s="41"/>
      <c r="AG19" s="41"/>
      <c r="AH19" s="37" t="n">
        <f aca="false">SUM(AE19,AG19)</f>
        <v>9</v>
      </c>
      <c r="AI19" s="42"/>
      <c r="AJ19" s="43" t="str">
        <f aca="false">IF(AND(S19&gt;=12,Y19&gt;=12,AH19&gt;=6),"да","нет")</f>
        <v>да</v>
      </c>
      <c r="AK19" s="2"/>
      <c r="AL19" s="2" t="n">
        <v>40</v>
      </c>
      <c r="AM19" s="23" t="n">
        <f aca="false">SUM(S19,Y19,AA19,AB19,AH19,AL19,AK19)</f>
        <v>86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 t="s">
        <v>473</v>
      </c>
      <c r="C20" s="27" t="s">
        <v>95</v>
      </c>
      <c r="D20" s="27" t="n">
        <v>467922</v>
      </c>
      <c r="E20" s="28" t="s">
        <v>45</v>
      </c>
      <c r="F20" s="28" t="s">
        <v>45</v>
      </c>
      <c r="G20" s="28" t="s">
        <v>45</v>
      </c>
      <c r="H20" s="28"/>
      <c r="I20" s="28" t="s">
        <v>45</v>
      </c>
      <c r="J20" s="28" t="s">
        <v>45</v>
      </c>
      <c r="K20" s="28"/>
      <c r="L20" s="28"/>
      <c r="M20" s="29"/>
      <c r="N20" s="29"/>
      <c r="O20" s="29"/>
      <c r="P20" s="30"/>
      <c r="Q20" s="46" t="n">
        <v>9676</v>
      </c>
      <c r="R20" s="28" t="s">
        <v>519</v>
      </c>
      <c r="S20" s="37" t="n">
        <v>18</v>
      </c>
      <c r="T20" s="47"/>
      <c r="U20" s="2" t="n">
        <v>4395</v>
      </c>
      <c r="V20" s="36" t="n">
        <v>45645</v>
      </c>
      <c r="W20" s="36" t="n">
        <v>45645</v>
      </c>
      <c r="X20" s="36" t="n">
        <v>45645</v>
      </c>
      <c r="Y20" s="37" t="n">
        <v>19</v>
      </c>
      <c r="Z20" s="38"/>
      <c r="AA20" s="39"/>
      <c r="AB20" s="39"/>
      <c r="AC20" s="48"/>
      <c r="AD20" s="41" t="n">
        <v>46014</v>
      </c>
      <c r="AE20" s="28" t="n">
        <v>10</v>
      </c>
      <c r="AF20" s="28"/>
      <c r="AG20" s="28"/>
      <c r="AH20" s="37" t="n">
        <f aca="false">SUM(AE20,AG20)</f>
        <v>10</v>
      </c>
      <c r="AI20" s="42"/>
      <c r="AJ20" s="43" t="str">
        <f aca="false">IF(AND(S20&gt;=12,Y20&gt;=12,AH20&gt;=6),"да","нет")</f>
        <v>да</v>
      </c>
      <c r="AK20" s="2" t="n">
        <v>3</v>
      </c>
      <c r="AL20" s="2" t="n">
        <v>40</v>
      </c>
      <c r="AM20" s="23" t="n">
        <f aca="false">SUM(S20,Y20,AA20,AB20,AH20,AL20,AK20)</f>
        <v>90</v>
      </c>
      <c r="AN20" s="29" t="str">
        <f aca="false">IF(AND(S20&gt;=12,Y20&gt;=12,AH20&gt;=6,AL20&gt;=24,AM20&gt;=60),"Зачет","Незачет")</f>
        <v>Зачет</v>
      </c>
    </row>
    <row r="21" customFormat="false" ht="15.75" hidden="false" customHeight="false" outlineLevel="0" collapsed="false">
      <c r="A21" s="25" t="n">
        <v>19</v>
      </c>
      <c r="B21" s="99" t="s">
        <v>493</v>
      </c>
      <c r="C21" s="27" t="s">
        <v>95</v>
      </c>
      <c r="D21" s="27" t="n">
        <v>468074</v>
      </c>
      <c r="E21" s="28" t="s">
        <v>45</v>
      </c>
      <c r="F21" s="28" t="s">
        <v>518</v>
      </c>
      <c r="G21" s="28" t="s">
        <v>45</v>
      </c>
      <c r="H21" s="28"/>
      <c r="I21" s="28" t="s">
        <v>45</v>
      </c>
      <c r="J21" s="28" t="s">
        <v>45</v>
      </c>
      <c r="K21" s="28"/>
      <c r="L21" s="28"/>
      <c r="M21" s="29"/>
      <c r="N21" s="29"/>
      <c r="O21" s="29"/>
      <c r="P21" s="30"/>
      <c r="Q21" s="46" t="n">
        <v>7375</v>
      </c>
      <c r="R21" s="28" t="s">
        <v>519</v>
      </c>
      <c r="S21" s="37" t="n">
        <v>18</v>
      </c>
      <c r="T21" s="47"/>
      <c r="U21" s="2" t="n">
        <v>1273</v>
      </c>
      <c r="V21" s="36" t="n">
        <v>46010</v>
      </c>
      <c r="W21" s="36" t="n">
        <v>46010</v>
      </c>
      <c r="X21" s="36" t="n">
        <v>46010</v>
      </c>
      <c r="Y21" s="37" t="n">
        <v>17</v>
      </c>
      <c r="Z21" s="38"/>
      <c r="AA21" s="39"/>
      <c r="AB21" s="39"/>
      <c r="AC21" s="48"/>
      <c r="AD21" s="41" t="n">
        <v>46014</v>
      </c>
      <c r="AE21" s="28" t="n">
        <v>10</v>
      </c>
      <c r="AF21" s="28"/>
      <c r="AG21" s="28"/>
      <c r="AH21" s="37" t="n">
        <f aca="false">SUM(AE21,AG21)</f>
        <v>10</v>
      </c>
      <c r="AI21" s="42"/>
      <c r="AJ21" s="43" t="str">
        <f aca="false">IF(AND(S21&gt;=12,Y21&gt;=12,AH21&gt;=6),"да","нет")</f>
        <v>да</v>
      </c>
      <c r="AK21" s="2" t="n">
        <v>3</v>
      </c>
      <c r="AL21" s="2" t="n">
        <v>40</v>
      </c>
      <c r="AM21" s="23" t="n">
        <f aca="false">SUM(S21,Y21,AA21,AB21,AH21,AL21,AK21)</f>
        <v>88</v>
      </c>
      <c r="AN21" s="29" t="str">
        <f aca="false">IF(AND(S21&gt;=12,Y21&gt;=12,AH21&gt;=6,AL21&gt;=24,AM21&gt;=60),"Зачет","Незачет")</f>
        <v>Зачет</v>
      </c>
    </row>
    <row r="22" customFormat="false" ht="15.75" hidden="false" customHeight="false" outlineLevel="0" collapsed="false">
      <c r="A22" s="25" t="n">
        <v>20</v>
      </c>
      <c r="B22" s="100" t="s">
        <v>509</v>
      </c>
      <c r="C22" s="27" t="s">
        <v>510</v>
      </c>
      <c r="D22" s="27" t="n">
        <v>408735</v>
      </c>
      <c r="E22" s="28" t="s">
        <v>45</v>
      </c>
      <c r="F22" s="28" t="s">
        <v>45</v>
      </c>
      <c r="G22" s="28" t="s">
        <v>45</v>
      </c>
      <c r="H22" s="28"/>
      <c r="I22" s="28" t="s">
        <v>518</v>
      </c>
      <c r="J22" s="28" t="s">
        <v>518</v>
      </c>
      <c r="K22" s="28"/>
      <c r="L22" s="28"/>
      <c r="M22" s="29"/>
      <c r="N22" s="29"/>
      <c r="O22" s="29"/>
      <c r="P22" s="30"/>
      <c r="Q22" s="46" t="n">
        <v>9777</v>
      </c>
      <c r="R22" s="28" t="s">
        <v>519</v>
      </c>
      <c r="S22" s="37" t="n">
        <v>15</v>
      </c>
      <c r="T22" s="47"/>
      <c r="U22" s="2" t="n">
        <v>5438</v>
      </c>
      <c r="V22" s="36" t="n">
        <v>45645</v>
      </c>
      <c r="W22" s="36" t="n">
        <v>45645</v>
      </c>
      <c r="X22" s="36" t="n">
        <v>45645</v>
      </c>
      <c r="Y22" s="37" t="n">
        <v>19</v>
      </c>
      <c r="Z22" s="38"/>
      <c r="AA22" s="39"/>
      <c r="AB22" s="39"/>
      <c r="AC22" s="48"/>
      <c r="AD22" s="41" t="n">
        <v>45675</v>
      </c>
      <c r="AE22" s="28" t="n">
        <v>6</v>
      </c>
      <c r="AF22" s="28"/>
      <c r="AG22" s="28"/>
      <c r="AH22" s="37" t="n">
        <f aca="false">SUM(AE22,AG22)</f>
        <v>6</v>
      </c>
      <c r="AI22" s="42"/>
      <c r="AJ22" s="43" t="str">
        <f aca="false">IF(AND(S22&gt;=12,Y22&gt;=12,AH22&gt;=6),"да","нет")</f>
        <v>да</v>
      </c>
      <c r="AK22" s="2"/>
      <c r="AL22" s="2" t="n">
        <v>40</v>
      </c>
      <c r="AM22" s="23" t="n">
        <f aca="false">SUM(S22,Y22,AA22,AB22,AH22,AL22,AK22)</f>
        <v>80</v>
      </c>
      <c r="AN22" s="29" t="str">
        <f aca="false">IF(AND(S22&gt;=12,Y22&gt;=12,AH22&gt;=6,AL22&gt;=24,AM22&gt;=60),"Зачет","Незачет")</f>
        <v>Зачет</v>
      </c>
    </row>
    <row r="23" customFormat="false" ht="15.75" hidden="false" customHeight="false" outlineLevel="0" collapsed="false">
      <c r="A23" s="25" t="n">
        <v>21</v>
      </c>
      <c r="B23" s="100" t="s">
        <v>511</v>
      </c>
      <c r="C23" s="50" t="s">
        <v>510</v>
      </c>
      <c r="D23" s="50" t="n">
        <v>413004</v>
      </c>
      <c r="E23" s="28" t="s">
        <v>518</v>
      </c>
      <c r="F23" s="28" t="s">
        <v>45</v>
      </c>
      <c r="G23" s="28" t="s">
        <v>518</v>
      </c>
      <c r="H23" s="28"/>
      <c r="I23" s="28" t="s">
        <v>518</v>
      </c>
      <c r="J23" s="28" t="s">
        <v>45</v>
      </c>
      <c r="K23" s="28"/>
      <c r="L23" s="28"/>
      <c r="M23" s="29"/>
      <c r="N23" s="29"/>
      <c r="O23" s="29"/>
      <c r="P23" s="30"/>
      <c r="Q23" s="50" t="n">
        <v>3480</v>
      </c>
      <c r="R23" s="28" t="s">
        <v>519</v>
      </c>
      <c r="S23" s="37" t="n">
        <v>18</v>
      </c>
      <c r="T23" s="47"/>
      <c r="U23" s="2" t="n">
        <v>3637</v>
      </c>
      <c r="V23" s="36" t="n">
        <v>45645</v>
      </c>
      <c r="W23" s="36" t="n">
        <v>45645</v>
      </c>
      <c r="X23" s="36" t="n">
        <v>45645</v>
      </c>
      <c r="Y23" s="37" t="n">
        <v>16</v>
      </c>
      <c r="Z23" s="38"/>
      <c r="AA23" s="39"/>
      <c r="AB23" s="39"/>
      <c r="AC23" s="48"/>
      <c r="AD23" s="41" t="n">
        <v>46014</v>
      </c>
      <c r="AE23" s="28" t="n">
        <v>8</v>
      </c>
      <c r="AF23" s="28"/>
      <c r="AG23" s="28"/>
      <c r="AH23" s="28" t="n">
        <v>8</v>
      </c>
      <c r="AI23" s="42"/>
      <c r="AJ23" s="43" t="s">
        <v>520</v>
      </c>
      <c r="AK23" s="2"/>
      <c r="AL23" s="2" t="n">
        <v>40</v>
      </c>
      <c r="AM23" s="23" t="n">
        <f aca="false">SUM(S23,Y23,AA23,AB23,AH23,AL23,AK23)</f>
        <v>82</v>
      </c>
      <c r="AN23" s="29" t="s">
        <v>12</v>
      </c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0</v>
      </c>
      <c r="G25" s="37" t="n">
        <f aca="false">COUNTIF(G$3:G$23, "~**")</f>
        <v>0</v>
      </c>
      <c r="H25" s="37" t="n">
        <f aca="false">COUNTIF(H$3:H$23, "~**")</f>
        <v>0</v>
      </c>
      <c r="I25" s="37" t="n">
        <f aca="false">COUNTIF(I$3:I$23, "~**")</f>
        <v>0</v>
      </c>
      <c r="J25" s="37" t="n">
        <f aca="false">COUNTIF(J$3:J$23, "~**")</f>
        <v>0</v>
      </c>
      <c r="K25" s="37" t="n">
        <f aca="false">COUNTIF(K$3:K$23, "~**")</f>
        <v>0</v>
      </c>
      <c r="L25" s="37" t="n">
        <f aca="false">COUNTIF(L$3:L$23, "~**")</f>
        <v>0</v>
      </c>
      <c r="M25" s="54" t="n">
        <f aca="false">COUNTIF(M$3:M$23, "~**")</f>
        <v>0</v>
      </c>
      <c r="N25" s="54" t="n">
        <f aca="false">COUNTIF(N$3:N$23, "~**")</f>
        <v>0</v>
      </c>
      <c r="O25" s="54" t="n">
        <f aca="false">COUNTIF(O$3:O$23, "~**")</f>
        <v>0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18</v>
      </c>
      <c r="F26" s="37" t="n">
        <f aca="false">COUNTIF(F$3:F$23, "~**")+COUNTIF(F$3:F$23, "Y")</f>
        <v>20</v>
      </c>
      <c r="G26" s="37" t="n">
        <f aca="false">COUNTIF(G$3:G$23, "~**")+COUNTIF(G$3:G$23, "Y")</f>
        <v>18</v>
      </c>
      <c r="H26" s="37" t="n">
        <f aca="false">COUNTIF(H$3:H$23, "~**")+COUNTIF(H$3:H$23, "Y")</f>
        <v>0</v>
      </c>
      <c r="I26" s="37" t="n">
        <f aca="false">COUNTIF(I$3:I$23, "~**")+COUNTIF(I$3:I$23, "Y")</f>
        <v>14</v>
      </c>
      <c r="J26" s="37" t="n">
        <f aca="false">COUNTIF(J$3:J$23, "~**")+COUNTIF(J$3:J$23, "Y")</f>
        <v>14</v>
      </c>
      <c r="K26" s="37" t="n">
        <f aca="false">COUNTIF(K$3:K$23, "~**")+COUNTIF(K$3:K$23, "Y")</f>
        <v>0</v>
      </c>
      <c r="L26" s="37" t="n">
        <f aca="false">COUNTIF(L$3:L$23, "~**")+COUNTIF(L$3:L$23, "Y")</f>
        <v>0</v>
      </c>
      <c r="M26" s="54" t="n">
        <f aca="false">COUNTIF(M$3:M$23, "~**")+COUNTIF(M$3:M$23, "Y")</f>
        <v>0</v>
      </c>
      <c r="N26" s="54" t="n">
        <f aca="false">COUNTIF(N$3:N$23, "~**")+COUNTIF(N$3:N$23, "Y")</f>
        <v>0</v>
      </c>
      <c r="O26" s="54" t="n">
        <f aca="false">COUNTIF(O$3:O$23, "~**")+COUNTIF(O$3:O$23, "Y")</f>
        <v>0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0.9047619048</v>
      </c>
      <c r="T28" s="62"/>
      <c r="U28" s="61"/>
      <c r="V28" s="61"/>
      <c r="W28" s="61"/>
      <c r="X28" s="61"/>
      <c r="Y28" s="61" t="n">
        <f aca="false">IFERROR(COUNTA(Y$3:Y23)/COUNTA($B$3:$B$23), 0)</f>
        <v>0.9047619048</v>
      </c>
      <c r="Z28" s="63"/>
      <c r="AA28" s="2"/>
      <c r="AB28" s="2"/>
      <c r="AC28" s="57"/>
      <c r="AE28" s="61" t="n">
        <f aca="false">IFERROR(COUNTIF(AE$3:AE23, "&gt;0")/COUNTA($B$3:$B$22), 0)</f>
        <v>0.95</v>
      </c>
      <c r="AG28" s="61" t="n">
        <f aca="false">IFERROR(COUNTIF(AG$3:AG23, "&gt;0")/COUNTA($B$3:$B$22), 0)</f>
        <v>0</v>
      </c>
      <c r="AH28" s="61" t="n">
        <f aca="false">IFERROR(COUNTIF(AH$3:AH23, "&gt;0")/COUNTA($B$3:$B$22), 0)</f>
        <v>0.95</v>
      </c>
      <c r="AI28" s="64"/>
      <c r="AJ28" s="65"/>
      <c r="AK28" s="2"/>
      <c r="AL28" s="61" t="n">
        <f aca="false">IFERROR(COUNTIF(AL$3:AL23, "&gt;24")/COUNTA($B$3:$B$22), 0)</f>
        <v>0.95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:S23 Y3:AB23 AH3:AH23 AK3:AL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3">
    <cfRule type="expression" priority="7" aboveAverage="0" equalAverage="0" bottom="0" percent="0" rank="0" text="" dxfId="5">
      <formula>R3&gt;45230</formula>
    </cfRule>
  </conditionalFormatting>
  <conditionalFormatting sqref="V3:X23 AC3:AG23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521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45185</v>
      </c>
      <c r="F2" s="15" t="n">
        <f aca="false">E2+14</f>
        <v>45199</v>
      </c>
      <c r="G2" s="15" t="n">
        <f aca="false">F2+14</f>
        <v>45213</v>
      </c>
      <c r="H2" s="15" t="n">
        <f aca="false">G2+14</f>
        <v>45227</v>
      </c>
      <c r="I2" s="15" t="n">
        <f aca="false">H2+14</f>
        <v>45241</v>
      </c>
      <c r="J2" s="15" t="n">
        <f aca="false">I2+14</f>
        <v>45255</v>
      </c>
      <c r="K2" s="15" t="n">
        <f aca="false">J2+14</f>
        <v>45269</v>
      </c>
      <c r="L2" s="15" t="n">
        <f aca="false">K2+14</f>
        <v>45283</v>
      </c>
      <c r="M2" s="16" t="n">
        <v>45668</v>
      </c>
      <c r="N2" s="101" t="n">
        <v>18.01</v>
      </c>
      <c r="O2" s="101" t="n">
        <v>25.01</v>
      </c>
      <c r="P2" s="18"/>
      <c r="Q2" s="19" t="s">
        <v>17</v>
      </c>
      <c r="R2" s="19" t="s">
        <v>18</v>
      </c>
      <c r="S2" s="19" t="s">
        <v>19</v>
      </c>
      <c r="T2" s="6"/>
      <c r="U2" s="19" t="s">
        <v>17</v>
      </c>
      <c r="V2" s="20" t="s">
        <v>20</v>
      </c>
      <c r="W2" s="20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182</v>
      </c>
      <c r="C3" s="27" t="s">
        <v>183</v>
      </c>
      <c r="D3" s="27" t="n">
        <v>465774</v>
      </c>
      <c r="E3" s="2" t="s">
        <v>45</v>
      </c>
      <c r="F3" s="2" t="s">
        <v>45</v>
      </c>
      <c r="G3" s="2" t="s">
        <v>45</v>
      </c>
      <c r="H3" s="2" t="s">
        <v>519</v>
      </c>
      <c r="I3" s="2" t="s">
        <v>522</v>
      </c>
      <c r="J3" s="2" t="s">
        <v>519</v>
      </c>
      <c r="K3" s="2" t="s">
        <v>519</v>
      </c>
      <c r="L3" s="2" t="s">
        <v>519</v>
      </c>
      <c r="M3" s="29" t="s">
        <v>523</v>
      </c>
      <c r="N3" s="29"/>
      <c r="O3" s="29"/>
      <c r="P3" s="30"/>
      <c r="Q3" s="31" t="n">
        <v>5001</v>
      </c>
      <c r="R3" s="39" t="n">
        <v>28.1</v>
      </c>
      <c r="S3" s="33" t="n">
        <v>20</v>
      </c>
      <c r="T3" s="34"/>
      <c r="U3" s="35" t="n">
        <v>6078</v>
      </c>
      <c r="V3" s="28" t="n">
        <v>25.11</v>
      </c>
      <c r="W3" s="28" t="n">
        <v>9.12</v>
      </c>
      <c r="X3" s="28" t="n">
        <v>23.12</v>
      </c>
      <c r="Y3" s="37" t="n">
        <v>19.5</v>
      </c>
      <c r="Z3" s="38"/>
      <c r="AA3" s="39"/>
      <c r="AB3" s="39"/>
      <c r="AC3" s="40"/>
      <c r="AD3" s="28" t="n">
        <v>20.12</v>
      </c>
      <c r="AE3" s="28" t="n">
        <v>5</v>
      </c>
      <c r="AF3" s="28" t="n">
        <v>20.12</v>
      </c>
      <c r="AG3" s="28" t="n">
        <v>5</v>
      </c>
      <c r="AH3" s="37" t="n">
        <f aca="false">SUM(AE3,AG3)</f>
        <v>10</v>
      </c>
      <c r="AI3" s="42"/>
      <c r="AJ3" s="43" t="str">
        <f aca="false">IF(AND(S3&gt;=12,Y3&gt;=12,AH3&gt;=6),"да","нет")</f>
        <v>да</v>
      </c>
      <c r="AK3" s="2"/>
      <c r="AL3" s="2" t="n">
        <v>40</v>
      </c>
      <c r="AM3" s="23" t="n">
        <f aca="false">SUM(S3,Y3,AA3,AB3,AH3,AL3,AK3)</f>
        <v>89.5</v>
      </c>
      <c r="AN3" s="29" t="str">
        <f aca="false">IF(AND(S3&gt;=12,Y3&gt;=12,AH3&gt;=6,AL3&gt;=24,AM3&gt;=60),"Зачет","Незачет")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228</v>
      </c>
      <c r="C4" s="27" t="s">
        <v>183</v>
      </c>
      <c r="D4" s="27" t="n">
        <v>466179</v>
      </c>
      <c r="E4" s="2" t="s">
        <v>45</v>
      </c>
      <c r="F4" s="2" t="s">
        <v>518</v>
      </c>
      <c r="G4" s="2" t="s">
        <v>518</v>
      </c>
      <c r="H4" s="2" t="s">
        <v>519</v>
      </c>
      <c r="I4" s="2" t="s">
        <v>45</v>
      </c>
      <c r="J4" s="2" t="s">
        <v>45</v>
      </c>
      <c r="K4" s="2" t="s">
        <v>45</v>
      </c>
      <c r="L4" s="2" t="s">
        <v>519</v>
      </c>
      <c r="M4" s="29" t="s">
        <v>45</v>
      </c>
      <c r="N4" s="29"/>
      <c r="O4" s="29"/>
      <c r="P4" s="30"/>
      <c r="Q4" s="31" t="n">
        <v>5002</v>
      </c>
      <c r="R4" s="39" t="n">
        <v>11.01</v>
      </c>
      <c r="S4" s="33" t="n">
        <v>17</v>
      </c>
      <c r="T4" s="34"/>
      <c r="U4" s="35" t="n">
        <v>6059</v>
      </c>
      <c r="V4" s="77" t="n">
        <v>45703</v>
      </c>
      <c r="W4" s="36" t="n">
        <v>45703</v>
      </c>
      <c r="X4" s="36" t="n">
        <v>45703</v>
      </c>
      <c r="Y4" s="37" t="n">
        <v>12</v>
      </c>
      <c r="Z4" s="38"/>
      <c r="AA4" s="39"/>
      <c r="AB4" s="39"/>
      <c r="AC4" s="40"/>
      <c r="AD4" s="77" t="n">
        <v>45696</v>
      </c>
      <c r="AE4" s="28" t="n">
        <v>0.01</v>
      </c>
      <c r="AF4" s="77" t="n">
        <v>45696</v>
      </c>
      <c r="AG4" s="28" t="n">
        <v>0.01</v>
      </c>
      <c r="AH4" s="37" t="n">
        <f aca="false">SUM(AE4,AG4)</f>
        <v>0.02</v>
      </c>
      <c r="AI4" s="42"/>
      <c r="AJ4" s="43" t="str">
        <f aca="false">IF(AND(S4&gt;=12,Y4&gt;=12,AH4&gt;=6),"да","нет")</f>
        <v>нет</v>
      </c>
      <c r="AK4" s="2"/>
      <c r="AL4" s="2"/>
      <c r="AM4" s="23" t="n">
        <f aca="false">SUM(S4,Y4,AA4,AB4,AH4,AL4,AK4)</f>
        <v>29.02</v>
      </c>
      <c r="AN4" s="29" t="str">
        <f aca="false">IF(AND(S4&gt;=12,Y4&gt;=12,AH4&gt;=6,AL4&gt;=24,AM4&gt;=60),"Зачет","Незачет")</f>
        <v>Незачет</v>
      </c>
    </row>
    <row r="5" customFormat="false" ht="15.75" hidden="false" customHeight="false" outlineLevel="0" collapsed="false">
      <c r="A5" s="25" t="n">
        <v>3</v>
      </c>
      <c r="B5" s="26" t="s">
        <v>236</v>
      </c>
      <c r="C5" s="27" t="s">
        <v>183</v>
      </c>
      <c r="D5" s="27" t="n">
        <v>466272</v>
      </c>
      <c r="E5" s="2" t="s">
        <v>45</v>
      </c>
      <c r="F5" s="2" t="s">
        <v>518</v>
      </c>
      <c r="G5" s="2" t="s">
        <v>518</v>
      </c>
      <c r="H5" s="2" t="s">
        <v>518</v>
      </c>
      <c r="I5" s="2" t="s">
        <v>518</v>
      </c>
      <c r="J5" s="2" t="s">
        <v>519</v>
      </c>
      <c r="K5" s="2" t="s">
        <v>519</v>
      </c>
      <c r="L5" s="2" t="s">
        <v>519</v>
      </c>
      <c r="M5" s="29" t="s">
        <v>45</v>
      </c>
      <c r="N5" s="29" t="s">
        <v>45</v>
      </c>
      <c r="O5" s="29"/>
      <c r="P5" s="30"/>
      <c r="Q5" s="31" t="n">
        <v>5003</v>
      </c>
      <c r="R5" s="78" t="n">
        <v>45668</v>
      </c>
      <c r="S5" s="39" t="n">
        <v>15</v>
      </c>
      <c r="T5" s="34"/>
      <c r="U5" s="35" t="n">
        <v>6057</v>
      </c>
      <c r="V5" s="28" t="n">
        <v>18.11</v>
      </c>
      <c r="W5" s="28" t="n">
        <v>18.11</v>
      </c>
      <c r="X5" s="28" t="n">
        <v>18.11</v>
      </c>
      <c r="Y5" s="37" t="n">
        <v>12</v>
      </c>
      <c r="Z5" s="38"/>
      <c r="AA5" s="39"/>
      <c r="AB5" s="39"/>
      <c r="AC5" s="44"/>
      <c r="AD5" s="28" t="n">
        <v>20.12</v>
      </c>
      <c r="AE5" s="28" t="n">
        <v>5</v>
      </c>
      <c r="AF5" s="28" t="n">
        <v>20.12</v>
      </c>
      <c r="AG5" s="28" t="n">
        <v>4</v>
      </c>
      <c r="AH5" s="37" t="n">
        <f aca="false">SUM(AE5,AG5)</f>
        <v>9</v>
      </c>
      <c r="AI5" s="42"/>
      <c r="AJ5" s="43" t="str">
        <f aca="false">IF(AND(S5&gt;=12,Y5&gt;=12,AH5&gt;=6),"да","нет")</f>
        <v>да</v>
      </c>
      <c r="AK5" s="2"/>
      <c r="AL5" s="2" t="n">
        <v>40</v>
      </c>
      <c r="AM5" s="23" t="n">
        <f aca="false">SUM(S5,Y5,AA5,AB5,AH5,AL5,AK5)</f>
        <v>76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255</v>
      </c>
      <c r="C6" s="27" t="s">
        <v>183</v>
      </c>
      <c r="D6" s="27" t="n">
        <v>466376</v>
      </c>
      <c r="E6" s="2" t="s">
        <v>45</v>
      </c>
      <c r="F6" s="2" t="s">
        <v>45</v>
      </c>
      <c r="G6" s="2" t="s">
        <v>518</v>
      </c>
      <c r="H6" s="2" t="s">
        <v>519</v>
      </c>
      <c r="I6" s="2" t="s">
        <v>522</v>
      </c>
      <c r="J6" s="2" t="s">
        <v>518</v>
      </c>
      <c r="K6" s="2" t="s">
        <v>519</v>
      </c>
      <c r="L6" s="2" t="s">
        <v>519</v>
      </c>
      <c r="M6" s="29" t="s">
        <v>518</v>
      </c>
      <c r="N6" s="29"/>
      <c r="O6" s="29"/>
      <c r="P6" s="30"/>
      <c r="Q6" s="31" t="n">
        <v>5004</v>
      </c>
      <c r="R6" s="39" t="n">
        <v>11.11</v>
      </c>
      <c r="S6" s="33" t="n">
        <v>16</v>
      </c>
      <c r="T6" s="34"/>
      <c r="U6" s="35" t="n">
        <v>6052</v>
      </c>
      <c r="V6" s="28" t="n">
        <v>23.11</v>
      </c>
      <c r="W6" s="36"/>
      <c r="X6" s="36"/>
      <c r="Y6" s="37"/>
      <c r="Z6" s="38"/>
      <c r="AA6" s="39"/>
      <c r="AB6" s="39"/>
      <c r="AC6" s="44"/>
      <c r="AD6" s="28" t="n">
        <v>20.12</v>
      </c>
      <c r="AE6" s="28" t="n">
        <v>0.01</v>
      </c>
      <c r="AF6" s="28" t="n">
        <v>20.12</v>
      </c>
      <c r="AG6" s="28" t="n">
        <v>0.01</v>
      </c>
      <c r="AH6" s="37" t="n">
        <f aca="false">SUM(AE6,AG6)</f>
        <v>0.02</v>
      </c>
      <c r="AI6" s="42"/>
      <c r="AJ6" s="43" t="str">
        <f aca="false">IF(AND(S6&gt;=12,Y6&gt;=12,AH6&gt;=6),"да","нет")</f>
        <v>нет</v>
      </c>
      <c r="AK6" s="2"/>
      <c r="AL6" s="2"/>
      <c r="AM6" s="23" t="n">
        <f aca="false">SUM(S6,Y6,AA6,AB6,AH6,AL6,AK6)</f>
        <v>16.02</v>
      </c>
      <c r="AN6" s="29" t="str">
        <f aca="false">IF(AND(S6&gt;=12,Y6&gt;=12,AH6&gt;=6,AL6&gt;=24,AM6&gt;=60),"Зачет","Незачет")</f>
        <v>Незачет</v>
      </c>
    </row>
    <row r="7" customFormat="false" ht="15.75" hidden="false" customHeight="false" outlineLevel="0" collapsed="false">
      <c r="A7" s="25" t="n">
        <v>5</v>
      </c>
      <c r="B7" s="26" t="s">
        <v>283</v>
      </c>
      <c r="C7" s="27" t="s">
        <v>183</v>
      </c>
      <c r="D7" s="27" t="n">
        <v>466520</v>
      </c>
      <c r="E7" s="2" t="s">
        <v>45</v>
      </c>
      <c r="F7" s="2" t="s">
        <v>45</v>
      </c>
      <c r="G7" s="2" t="s">
        <v>519</v>
      </c>
      <c r="H7" s="2" t="s">
        <v>45</v>
      </c>
      <c r="I7" s="2" t="s">
        <v>45</v>
      </c>
      <c r="J7" s="2" t="s">
        <v>45</v>
      </c>
      <c r="K7" s="2" t="s">
        <v>45</v>
      </c>
      <c r="L7" s="2" t="s">
        <v>519</v>
      </c>
      <c r="M7" s="29" t="s">
        <v>45</v>
      </c>
      <c r="N7" s="29" t="s">
        <v>45</v>
      </c>
      <c r="O7" s="29"/>
      <c r="P7" s="30"/>
      <c r="Q7" s="31" t="n">
        <v>5005</v>
      </c>
      <c r="R7" s="32" t="n">
        <v>45668</v>
      </c>
      <c r="S7" s="33" t="n">
        <v>16</v>
      </c>
      <c r="T7" s="34"/>
      <c r="U7" s="35" t="n">
        <v>6060</v>
      </c>
      <c r="V7" s="28" t="n">
        <v>18.01</v>
      </c>
      <c r="W7" s="28" t="n">
        <v>18.01</v>
      </c>
      <c r="X7" s="28" t="n">
        <v>18.01</v>
      </c>
      <c r="Y7" s="37" t="n">
        <v>12</v>
      </c>
      <c r="Z7" s="38"/>
      <c r="AA7" s="39"/>
      <c r="AB7" s="39"/>
      <c r="AC7" s="40"/>
      <c r="AD7" s="28" t="n">
        <v>20.12</v>
      </c>
      <c r="AE7" s="28" t="n">
        <v>3</v>
      </c>
      <c r="AF7" s="28" t="n">
        <v>20.12</v>
      </c>
      <c r="AG7" s="28" t="n">
        <v>3.5</v>
      </c>
      <c r="AH7" s="37" t="n">
        <f aca="false">SUM(AE7,AG7)</f>
        <v>6.5</v>
      </c>
      <c r="AI7" s="42"/>
      <c r="AJ7" s="43" t="str">
        <f aca="false">IF(AND(S7&gt;=12,Y7&gt;=12,AH7&gt;=6),"да","нет")</f>
        <v>да</v>
      </c>
      <c r="AK7" s="2"/>
      <c r="AL7" s="2" t="n">
        <v>40</v>
      </c>
      <c r="AM7" s="23" t="n">
        <f aca="false">SUM(S7,Y7,AA7,AB7,AH7,AL7,AK7)</f>
        <v>74.5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297</v>
      </c>
      <c r="C8" s="27" t="s">
        <v>183</v>
      </c>
      <c r="D8" s="27" t="n">
        <v>373256</v>
      </c>
      <c r="E8" s="2" t="s">
        <v>518</v>
      </c>
      <c r="F8" s="2" t="s">
        <v>518</v>
      </c>
      <c r="G8" s="2" t="s">
        <v>518</v>
      </c>
      <c r="H8" s="2" t="s">
        <v>518</v>
      </c>
      <c r="I8" s="2" t="s">
        <v>518</v>
      </c>
      <c r="J8" s="2" t="s">
        <v>518</v>
      </c>
      <c r="K8" s="2" t="s">
        <v>518</v>
      </c>
      <c r="L8" s="2" t="s">
        <v>518</v>
      </c>
      <c r="M8" s="29" t="s">
        <v>518</v>
      </c>
      <c r="N8" s="29"/>
      <c r="O8" s="29"/>
      <c r="P8" s="30"/>
      <c r="Q8" s="31" t="n">
        <v>5006</v>
      </c>
      <c r="R8" s="32"/>
      <c r="S8" s="33"/>
      <c r="T8" s="34"/>
      <c r="U8" s="35"/>
      <c r="V8" s="36"/>
      <c r="W8" s="36"/>
      <c r="X8" s="36"/>
      <c r="Y8" s="37"/>
      <c r="Z8" s="38"/>
      <c r="AA8" s="39"/>
      <c r="AB8" s="39"/>
      <c r="AC8" s="40"/>
      <c r="AD8" s="41"/>
      <c r="AE8" s="41"/>
      <c r="AF8" s="41"/>
      <c r="AG8" s="41"/>
      <c r="AH8" s="37" t="n">
        <f aca="false">SUM(AE8,AG8)</f>
        <v>0</v>
      </c>
      <c r="AI8" s="42"/>
      <c r="AJ8" s="43" t="str">
        <f aca="false">IF(AND(S8&gt;=12,Y8&gt;=12,AH8&gt;=6),"да","нет")</f>
        <v>нет</v>
      </c>
      <c r="AK8" s="2"/>
      <c r="AL8" s="2"/>
      <c r="AM8" s="23" t="n">
        <f aca="false">SUM(S8,Y8,AA8,AB8,AH8,AL8,AK8)</f>
        <v>0</v>
      </c>
      <c r="AN8" s="29" t="str">
        <f aca="false">IF(AND(S8&gt;=12,Y8&gt;=12,AH8&gt;=6,AL8&gt;=24,AM8&gt;=60),"Зачет","Незачет")</f>
        <v>Незачет</v>
      </c>
    </row>
    <row r="9" customFormat="false" ht="15.75" hidden="false" customHeight="false" outlineLevel="0" collapsed="false">
      <c r="A9" s="25" t="n">
        <v>7</v>
      </c>
      <c r="B9" s="26" t="s">
        <v>303</v>
      </c>
      <c r="C9" s="27" t="s">
        <v>183</v>
      </c>
      <c r="D9" s="27" t="n">
        <v>335003</v>
      </c>
      <c r="E9" s="2" t="s">
        <v>45</v>
      </c>
      <c r="F9" s="2" t="s">
        <v>518</v>
      </c>
      <c r="G9" s="2" t="s">
        <v>518</v>
      </c>
      <c r="H9" s="2" t="s">
        <v>519</v>
      </c>
      <c r="I9" s="2" t="s">
        <v>519</v>
      </c>
      <c r="J9" s="2" t="s">
        <v>519</v>
      </c>
      <c r="K9" s="2" t="s">
        <v>518</v>
      </c>
      <c r="L9" s="2" t="s">
        <v>519</v>
      </c>
      <c r="M9" s="29" t="s">
        <v>45</v>
      </c>
      <c r="N9" s="29"/>
      <c r="O9" s="29"/>
      <c r="P9" s="30"/>
      <c r="Q9" s="31" t="n">
        <v>5007</v>
      </c>
      <c r="R9" s="39" t="n">
        <v>25.11</v>
      </c>
      <c r="S9" s="33" t="n">
        <v>16</v>
      </c>
      <c r="T9" s="34"/>
      <c r="U9" s="35" t="n">
        <v>6053</v>
      </c>
      <c r="V9" s="28" t="n">
        <v>11.01</v>
      </c>
      <c r="W9" s="28" t="n">
        <v>11.01</v>
      </c>
      <c r="X9" s="28" t="n">
        <v>11.01</v>
      </c>
      <c r="Y9" s="37" t="n">
        <v>12</v>
      </c>
      <c r="Z9" s="38"/>
      <c r="AA9" s="39"/>
      <c r="AB9" s="39"/>
      <c r="AC9" s="44"/>
      <c r="AD9" s="28" t="n">
        <v>20.12</v>
      </c>
      <c r="AE9" s="28" t="n">
        <v>5</v>
      </c>
      <c r="AF9" s="28" t="n">
        <v>20.12</v>
      </c>
      <c r="AG9" s="28" t="n">
        <v>5</v>
      </c>
      <c r="AH9" s="37" t="n">
        <f aca="false">SUM(AE9,AG9)</f>
        <v>10</v>
      </c>
      <c r="AI9" s="42"/>
      <c r="AJ9" s="43" t="str">
        <f aca="false">IF(AND(S9&gt;=12,Y9&gt;=12,AH9&gt;=6),"да","нет")</f>
        <v>да</v>
      </c>
      <c r="AK9" s="2"/>
      <c r="AL9" s="2" t="n">
        <v>40</v>
      </c>
      <c r="AM9" s="23" t="n">
        <f aca="false">SUM(S9,Y9,AA9,AB9,AH9,AL9,AK9)</f>
        <v>78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316</v>
      </c>
      <c r="C10" s="27" t="s">
        <v>183</v>
      </c>
      <c r="D10" s="27" t="n">
        <v>463222</v>
      </c>
      <c r="E10" s="2" t="s">
        <v>518</v>
      </c>
      <c r="F10" s="2" t="s">
        <v>518</v>
      </c>
      <c r="G10" s="2" t="s">
        <v>518</v>
      </c>
      <c r="H10" s="2" t="s">
        <v>518</v>
      </c>
      <c r="I10" s="2" t="s">
        <v>518</v>
      </c>
      <c r="J10" s="2" t="s">
        <v>518</v>
      </c>
      <c r="K10" s="2" t="s">
        <v>518</v>
      </c>
      <c r="L10" s="2" t="s">
        <v>518</v>
      </c>
      <c r="M10" s="29" t="s">
        <v>518</v>
      </c>
      <c r="N10" s="29"/>
      <c r="O10" s="29"/>
      <c r="P10" s="30"/>
      <c r="Q10" s="31" t="n">
        <v>5008</v>
      </c>
      <c r="R10" s="32"/>
      <c r="S10" s="33"/>
      <c r="T10" s="34"/>
      <c r="U10" s="35"/>
      <c r="V10" s="36"/>
      <c r="W10" s="36"/>
      <c r="X10" s="36"/>
      <c r="Y10" s="37"/>
      <c r="Z10" s="38"/>
      <c r="AA10" s="39"/>
      <c r="AB10" s="39"/>
      <c r="AC10" s="40"/>
      <c r="AD10" s="41"/>
      <c r="AE10" s="28"/>
      <c r="AF10" s="41"/>
      <c r="AG10" s="28"/>
      <c r="AH10" s="37" t="n">
        <f aca="false">SUM(AE10,AG10)</f>
        <v>0</v>
      </c>
      <c r="AI10" s="42"/>
      <c r="AJ10" s="43" t="str">
        <f aca="false">IF(AND(S10&gt;=12,Y10&gt;=12,AH10&gt;=6),"да","нет")</f>
        <v>нет</v>
      </c>
      <c r="AK10" s="2"/>
      <c r="AL10" s="2"/>
      <c r="AM10" s="23" t="n">
        <f aca="false">SUM(S10,Y10,AA10,AB10,AH10,AL10,AK10)</f>
        <v>0</v>
      </c>
      <c r="AN10" s="29" t="str">
        <f aca="false">IF(AND(S10&gt;=12,Y10&gt;=12,AH10&gt;=6,AL10&gt;=24,AM10&gt;=60),"Зачет","Незачет")</f>
        <v>Незачет</v>
      </c>
    </row>
    <row r="11" customFormat="false" ht="15.75" hidden="false" customHeight="false" outlineLevel="0" collapsed="false">
      <c r="A11" s="25" t="n">
        <v>9</v>
      </c>
      <c r="B11" s="26" t="s">
        <v>324</v>
      </c>
      <c r="C11" s="27" t="s">
        <v>183</v>
      </c>
      <c r="D11" s="27" t="n">
        <v>466852</v>
      </c>
      <c r="E11" s="2" t="s">
        <v>45</v>
      </c>
      <c r="F11" s="2" t="s">
        <v>518</v>
      </c>
      <c r="G11" s="2" t="s">
        <v>45</v>
      </c>
      <c r="H11" s="2" t="s">
        <v>518</v>
      </c>
      <c r="I11" s="2" t="s">
        <v>519</v>
      </c>
      <c r="J11" s="2" t="s">
        <v>519</v>
      </c>
      <c r="K11" s="2" t="s">
        <v>518</v>
      </c>
      <c r="L11" s="2" t="s">
        <v>518</v>
      </c>
      <c r="M11" s="29" t="s">
        <v>518</v>
      </c>
      <c r="N11" s="29"/>
      <c r="O11" s="29"/>
      <c r="P11" s="30"/>
      <c r="Q11" s="31" t="n">
        <v>5009</v>
      </c>
      <c r="R11" s="31"/>
      <c r="S11" s="33"/>
      <c r="T11" s="34"/>
      <c r="U11" s="35"/>
      <c r="V11" s="36"/>
      <c r="W11" s="36"/>
      <c r="X11" s="36"/>
      <c r="Y11" s="37"/>
      <c r="Z11" s="38"/>
      <c r="AA11" s="39"/>
      <c r="AB11" s="39"/>
      <c r="AC11" s="40"/>
      <c r="AD11" s="41"/>
      <c r="AE11" s="41"/>
      <c r="AF11" s="41"/>
      <c r="AG11" s="41"/>
      <c r="AH11" s="37" t="n">
        <f aca="false">SUM(AE11,AG11)</f>
        <v>0</v>
      </c>
      <c r="AI11" s="42"/>
      <c r="AJ11" s="43" t="str">
        <f aca="false">IF(AND(S11&gt;=12,Y11&gt;=12,AH11&gt;=6),"да","нет")</f>
        <v>нет</v>
      </c>
      <c r="AK11" s="2"/>
      <c r="AL11" s="2"/>
      <c r="AM11" s="23" t="n">
        <f aca="false">SUM(S11,Y11,AA11,AB11,AH11,AL11,AK11)</f>
        <v>0</v>
      </c>
      <c r="AN11" s="29" t="str">
        <f aca="false">IF(AND(S11&gt;=12,Y11&gt;=12,AH11&gt;=6,AL11&gt;=24,AM11&gt;=60),"Зачет","Незачет")</f>
        <v>Незачет</v>
      </c>
    </row>
    <row r="12" customFormat="false" ht="15.75" hidden="false" customHeight="false" outlineLevel="0" collapsed="false">
      <c r="A12" s="25" t="n">
        <v>10</v>
      </c>
      <c r="B12" s="26" t="s">
        <v>363</v>
      </c>
      <c r="C12" s="27" t="s">
        <v>183</v>
      </c>
      <c r="D12" s="27" t="n">
        <v>467182</v>
      </c>
      <c r="E12" s="2" t="s">
        <v>45</v>
      </c>
      <c r="F12" s="2" t="s">
        <v>45</v>
      </c>
      <c r="G12" s="2" t="s">
        <v>519</v>
      </c>
      <c r="H12" s="2" t="s">
        <v>519</v>
      </c>
      <c r="I12" s="2" t="s">
        <v>45</v>
      </c>
      <c r="J12" s="2" t="s">
        <v>45</v>
      </c>
      <c r="K12" s="2" t="s">
        <v>519</v>
      </c>
      <c r="L12" s="2" t="s">
        <v>519</v>
      </c>
      <c r="M12" s="29" t="s">
        <v>45</v>
      </c>
      <c r="N12" s="29"/>
      <c r="O12" s="29"/>
      <c r="P12" s="30"/>
      <c r="Q12" s="31" t="n">
        <v>5010</v>
      </c>
      <c r="R12" s="39" t="n">
        <v>25.11</v>
      </c>
      <c r="S12" s="33" t="n">
        <v>18</v>
      </c>
      <c r="T12" s="34"/>
      <c r="U12" s="35" t="n">
        <v>6054</v>
      </c>
      <c r="V12" s="28" t="n">
        <v>9.12</v>
      </c>
      <c r="W12" s="28" t="n">
        <v>23.12</v>
      </c>
      <c r="X12" s="28" t="n">
        <v>23.12</v>
      </c>
      <c r="Y12" s="37" t="n">
        <v>19</v>
      </c>
      <c r="Z12" s="38"/>
      <c r="AA12" s="39"/>
      <c r="AB12" s="39"/>
      <c r="AC12" s="40"/>
      <c r="AD12" s="28" t="n">
        <v>20.12</v>
      </c>
      <c r="AE12" s="28" t="n">
        <v>5</v>
      </c>
      <c r="AF12" s="28" t="n">
        <v>20.12</v>
      </c>
      <c r="AG12" s="28" t="n">
        <v>5</v>
      </c>
      <c r="AH12" s="37" t="n">
        <f aca="false">SUM(AE12,AG12)</f>
        <v>10</v>
      </c>
      <c r="AI12" s="42"/>
      <c r="AJ12" s="43" t="str">
        <f aca="false">IF(AND(S12&gt;=12,Y12&gt;=12,AH12&gt;=6),"да","нет")</f>
        <v>да</v>
      </c>
      <c r="AK12" s="2"/>
      <c r="AL12" s="2" t="n">
        <v>40</v>
      </c>
      <c r="AM12" s="23" t="n">
        <f aca="false">SUM(S12,Y12,AA12,AB12,AH12,AL12,AK12)</f>
        <v>87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367</v>
      </c>
      <c r="C13" s="27" t="s">
        <v>183</v>
      </c>
      <c r="D13" s="27" t="n">
        <v>467205</v>
      </c>
      <c r="E13" s="2" t="s">
        <v>45</v>
      </c>
      <c r="F13" s="2" t="s">
        <v>519</v>
      </c>
      <c r="G13" s="2" t="s">
        <v>518</v>
      </c>
      <c r="H13" s="2" t="s">
        <v>518</v>
      </c>
      <c r="I13" s="2" t="s">
        <v>518</v>
      </c>
      <c r="J13" s="2" t="s">
        <v>519</v>
      </c>
      <c r="K13" s="2" t="s">
        <v>519</v>
      </c>
      <c r="L13" s="2" t="s">
        <v>518</v>
      </c>
      <c r="M13" s="29" t="s">
        <v>523</v>
      </c>
      <c r="N13" s="29"/>
      <c r="O13" s="29"/>
      <c r="P13" s="30"/>
      <c r="Q13" s="31" t="n">
        <v>5011</v>
      </c>
      <c r="R13" s="39" t="n">
        <v>30.09</v>
      </c>
      <c r="S13" s="33" t="n">
        <v>20</v>
      </c>
      <c r="T13" s="34"/>
      <c r="U13" s="35" t="n">
        <v>6011</v>
      </c>
      <c r="V13" s="28" t="n">
        <v>25.11</v>
      </c>
      <c r="W13" s="28" t="n">
        <v>9.12</v>
      </c>
      <c r="X13" s="28" t="n">
        <v>9.12</v>
      </c>
      <c r="Y13" s="37" t="n">
        <v>20</v>
      </c>
      <c r="Z13" s="38"/>
      <c r="AA13" s="39"/>
      <c r="AB13" s="39"/>
      <c r="AC13" s="40"/>
      <c r="AD13" s="28" t="n">
        <v>18.01</v>
      </c>
      <c r="AE13" s="28" t="n">
        <v>5</v>
      </c>
      <c r="AF13" s="28" t="n">
        <v>18.01</v>
      </c>
      <c r="AG13" s="28" t="n">
        <v>1</v>
      </c>
      <c r="AH13" s="37" t="n">
        <f aca="false">SUM(AE13,AG13)</f>
        <v>6</v>
      </c>
      <c r="AI13" s="42"/>
      <c r="AJ13" s="43" t="str">
        <f aca="false">IF(AND(S13&gt;=12,Y13&gt;=12,AH13&gt;=6),"да","нет")</f>
        <v>да</v>
      </c>
      <c r="AK13" s="2"/>
      <c r="AL13" s="2" t="n">
        <v>40</v>
      </c>
      <c r="AM13" s="23" t="n">
        <f aca="false">SUM(S13,Y13,AA13,AB13,AH13,AL13,AK13)</f>
        <v>86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368</v>
      </c>
      <c r="C14" s="27" t="s">
        <v>183</v>
      </c>
      <c r="D14" s="27" t="n">
        <v>472395</v>
      </c>
      <c r="E14" s="2" t="s">
        <v>45</v>
      </c>
      <c r="F14" s="2" t="s">
        <v>45</v>
      </c>
      <c r="G14" s="2" t="s">
        <v>45</v>
      </c>
      <c r="H14" s="2" t="s">
        <v>519</v>
      </c>
      <c r="I14" s="2" t="s">
        <v>518</v>
      </c>
      <c r="J14" s="2" t="s">
        <v>519</v>
      </c>
      <c r="K14" s="2" t="s">
        <v>519</v>
      </c>
      <c r="L14" s="2" t="s">
        <v>519</v>
      </c>
      <c r="M14" s="29" t="s">
        <v>45</v>
      </c>
      <c r="N14" s="29"/>
      <c r="O14" s="29"/>
      <c r="P14" s="30"/>
      <c r="Q14" s="31" t="n">
        <v>5012</v>
      </c>
      <c r="R14" s="39" t="n">
        <v>28.1</v>
      </c>
      <c r="S14" s="33" t="n">
        <v>17</v>
      </c>
      <c r="T14" s="34"/>
      <c r="U14" s="35" t="n">
        <v>6055</v>
      </c>
      <c r="V14" s="28" t="n">
        <v>9.12</v>
      </c>
      <c r="W14" s="28" t="n">
        <v>23.12</v>
      </c>
      <c r="X14" s="28" t="n">
        <v>11.01</v>
      </c>
      <c r="Y14" s="37" t="n">
        <v>18</v>
      </c>
      <c r="Z14" s="38"/>
      <c r="AA14" s="39"/>
      <c r="AB14" s="39"/>
      <c r="AC14" s="40"/>
      <c r="AD14" s="28" t="n">
        <v>20.12</v>
      </c>
      <c r="AE14" s="28" t="n">
        <v>5</v>
      </c>
      <c r="AF14" s="28" t="n">
        <v>20.12</v>
      </c>
      <c r="AG14" s="28" t="n">
        <v>4</v>
      </c>
      <c r="AH14" s="37" t="n">
        <f aca="false">SUM(AE14,AG14)</f>
        <v>9</v>
      </c>
      <c r="AI14" s="42"/>
      <c r="AJ14" s="43" t="str">
        <f aca="false">IF(AND(S14&gt;=12,Y14&gt;=12,AH14&gt;=6),"да","нет")</f>
        <v>да</v>
      </c>
      <c r="AK14" s="2"/>
      <c r="AL14" s="2" t="n">
        <v>40</v>
      </c>
      <c r="AM14" s="23" t="n">
        <f aca="false">SUM(S14,Y14,AA14,AB14,AH14,AL14,AK14)</f>
        <v>84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388</v>
      </c>
      <c r="C15" s="27" t="s">
        <v>183</v>
      </c>
      <c r="D15" s="27" t="n">
        <v>467307</v>
      </c>
      <c r="E15" s="2" t="s">
        <v>45</v>
      </c>
      <c r="F15" s="2" t="s">
        <v>519</v>
      </c>
      <c r="G15" s="2" t="s">
        <v>519</v>
      </c>
      <c r="H15" s="2" t="s">
        <v>45</v>
      </c>
      <c r="I15" s="2" t="s">
        <v>518</v>
      </c>
      <c r="J15" s="2" t="s">
        <v>519</v>
      </c>
      <c r="K15" s="2" t="s">
        <v>519</v>
      </c>
      <c r="L15" s="2" t="s">
        <v>518</v>
      </c>
      <c r="M15" s="29" t="s">
        <v>523</v>
      </c>
      <c r="N15" s="29"/>
      <c r="O15" s="29"/>
      <c r="P15" s="30"/>
      <c r="Q15" s="31" t="n">
        <v>5013</v>
      </c>
      <c r="R15" s="39" t="n">
        <v>30.09</v>
      </c>
      <c r="S15" s="33" t="n">
        <v>20</v>
      </c>
      <c r="T15" s="34"/>
      <c r="U15" s="35" t="n">
        <v>50139</v>
      </c>
      <c r="V15" s="28" t="n">
        <v>25.11</v>
      </c>
      <c r="W15" s="28" t="n">
        <v>9.12</v>
      </c>
      <c r="X15" s="28" t="n">
        <v>9.12</v>
      </c>
      <c r="Y15" s="37" t="n">
        <v>20</v>
      </c>
      <c r="Z15" s="38"/>
      <c r="AA15" s="39"/>
      <c r="AB15" s="39"/>
      <c r="AC15" s="40"/>
      <c r="AD15" s="28" t="n">
        <v>20.12</v>
      </c>
      <c r="AE15" s="28" t="n">
        <v>5</v>
      </c>
      <c r="AF15" s="28" t="n">
        <v>20.12</v>
      </c>
      <c r="AG15" s="28" t="n">
        <v>5</v>
      </c>
      <c r="AH15" s="37" t="n">
        <f aca="false">SUM(AE15,AG15)</f>
        <v>10</v>
      </c>
      <c r="AI15" s="42"/>
      <c r="AJ15" s="43" t="str">
        <f aca="false">IF(AND(S15&gt;=12,Y15&gt;=12,AH15&gt;=6),"да","нет")</f>
        <v>да</v>
      </c>
      <c r="AK15" s="2"/>
      <c r="AL15" s="37" t="n">
        <v>40</v>
      </c>
      <c r="AM15" s="23" t="n">
        <f aca="false">SUM(S15,Y15,AA15,AB15,AH15,AL15,AK15)</f>
        <v>90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524</v>
      </c>
      <c r="C16" s="27" t="s">
        <v>183</v>
      </c>
      <c r="D16" s="27" t="n">
        <v>467570</v>
      </c>
      <c r="E16" s="2" t="s">
        <v>45</v>
      </c>
      <c r="F16" s="2" t="s">
        <v>525</v>
      </c>
      <c r="G16" s="2" t="s">
        <v>518</v>
      </c>
      <c r="H16" s="2" t="s">
        <v>45</v>
      </c>
      <c r="I16" s="2" t="s">
        <v>518</v>
      </c>
      <c r="J16" s="2" t="s">
        <v>519</v>
      </c>
      <c r="K16" s="2" t="s">
        <v>518</v>
      </c>
      <c r="L16" s="2" t="s">
        <v>519</v>
      </c>
      <c r="M16" s="29" t="s">
        <v>523</v>
      </c>
      <c r="N16" s="29"/>
      <c r="O16" s="29"/>
      <c r="P16" s="30"/>
      <c r="Q16" s="31" t="n">
        <v>5014</v>
      </c>
      <c r="R16" s="2" t="n">
        <v>30.09</v>
      </c>
      <c r="S16" s="39" t="n">
        <v>20</v>
      </c>
      <c r="T16" s="34"/>
      <c r="U16" s="35" t="n">
        <v>6014</v>
      </c>
      <c r="V16" s="28" t="n">
        <v>23.12</v>
      </c>
      <c r="W16" s="28" t="n">
        <v>23.12</v>
      </c>
      <c r="X16" s="28" t="n">
        <v>23.12</v>
      </c>
      <c r="Y16" s="37" t="n">
        <v>20</v>
      </c>
      <c r="Z16" s="38"/>
      <c r="AA16" s="39"/>
      <c r="AB16" s="39"/>
      <c r="AC16" s="40"/>
      <c r="AD16" s="28" t="n">
        <v>18.01</v>
      </c>
      <c r="AE16" s="28" t="n">
        <v>5</v>
      </c>
      <c r="AF16" s="28" t="n">
        <v>18.01</v>
      </c>
      <c r="AG16" s="28" t="n">
        <v>1</v>
      </c>
      <c r="AH16" s="37" t="n">
        <f aca="false">SUM(AE16,AG16)</f>
        <v>6</v>
      </c>
      <c r="AI16" s="42"/>
      <c r="AJ16" s="43" t="str">
        <f aca="false">IF(AND(S16&gt;=12,Y16&gt;=12,AH16&gt;=6),"да","нет")</f>
        <v>да</v>
      </c>
      <c r="AK16" s="2"/>
      <c r="AL16" s="2" t="n">
        <v>40</v>
      </c>
      <c r="AM16" s="23" t="n">
        <f aca="false">SUM(S16,Y16,AA16,AB16,AH16,AL16,AK16)</f>
        <v>86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446</v>
      </c>
      <c r="C17" s="27" t="s">
        <v>183</v>
      </c>
      <c r="D17" s="27" t="n">
        <v>467675</v>
      </c>
      <c r="E17" s="2" t="s">
        <v>518</v>
      </c>
      <c r="F17" s="2" t="s">
        <v>45</v>
      </c>
      <c r="G17" s="2" t="s">
        <v>45</v>
      </c>
      <c r="H17" s="2" t="s">
        <v>519</v>
      </c>
      <c r="I17" s="2" t="s">
        <v>519</v>
      </c>
      <c r="J17" s="2" t="s">
        <v>519</v>
      </c>
      <c r="K17" s="2" t="s">
        <v>519</v>
      </c>
      <c r="L17" s="2" t="s">
        <v>519</v>
      </c>
      <c r="M17" s="29" t="s">
        <v>45</v>
      </c>
      <c r="N17" s="29"/>
      <c r="O17" s="29"/>
      <c r="P17" s="30"/>
      <c r="Q17" s="31" t="n">
        <v>5015</v>
      </c>
      <c r="R17" s="39" t="n">
        <v>11.11</v>
      </c>
      <c r="S17" s="33" t="n">
        <v>17.5</v>
      </c>
      <c r="T17" s="34"/>
      <c r="U17" s="35" t="n">
        <v>6056</v>
      </c>
      <c r="V17" s="28" t="n">
        <v>9.12</v>
      </c>
      <c r="W17" s="28" t="n">
        <v>23.12</v>
      </c>
      <c r="X17" s="28" t="n">
        <v>11.01</v>
      </c>
      <c r="Y17" s="37" t="n">
        <v>15</v>
      </c>
      <c r="Z17" s="38"/>
      <c r="AA17" s="39"/>
      <c r="AB17" s="39"/>
      <c r="AC17" s="44"/>
      <c r="AD17" s="28" t="n">
        <v>20.12</v>
      </c>
      <c r="AE17" s="28" t="n">
        <v>5</v>
      </c>
      <c r="AF17" s="28" t="n">
        <v>20.12</v>
      </c>
      <c r="AG17" s="28" t="n">
        <v>4</v>
      </c>
      <c r="AH17" s="37" t="n">
        <f aca="false">SUM(AE17,AG17)</f>
        <v>9</v>
      </c>
      <c r="AI17" s="42"/>
      <c r="AJ17" s="43" t="str">
        <f aca="false">IF(AND(S17&gt;=12,Y17&gt;=12,AH17&gt;=6),"да","нет")</f>
        <v>да</v>
      </c>
      <c r="AK17" s="2"/>
      <c r="AL17" s="2" t="n">
        <v>40</v>
      </c>
      <c r="AM17" s="23" t="n">
        <f aca="false">SUM(S17,Y17,AA17,AB17,AH17,AL17,AK17)</f>
        <v>81.5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475</v>
      </c>
      <c r="C18" s="27" t="s">
        <v>183</v>
      </c>
      <c r="D18" s="27" t="n">
        <v>467937</v>
      </c>
      <c r="E18" s="2" t="s">
        <v>45</v>
      </c>
      <c r="F18" s="2" t="s">
        <v>525</v>
      </c>
      <c r="G18" s="2" t="s">
        <v>518</v>
      </c>
      <c r="H18" s="2" t="s">
        <v>518</v>
      </c>
      <c r="I18" s="2" t="s">
        <v>518</v>
      </c>
      <c r="J18" s="2" t="s">
        <v>518</v>
      </c>
      <c r="K18" s="2" t="s">
        <v>519</v>
      </c>
      <c r="L18" s="2" t="s">
        <v>518</v>
      </c>
      <c r="M18" s="29" t="s">
        <v>523</v>
      </c>
      <c r="N18" s="29"/>
      <c r="O18" s="29"/>
      <c r="P18" s="30"/>
      <c r="Q18" s="31" t="n">
        <v>5016</v>
      </c>
      <c r="R18" s="2" t="n">
        <v>30.09</v>
      </c>
      <c r="S18" s="39" t="n">
        <v>20</v>
      </c>
      <c r="T18" s="34"/>
      <c r="U18" s="35" t="n">
        <v>6016</v>
      </c>
      <c r="V18" s="28" t="n">
        <v>9.12</v>
      </c>
      <c r="W18" s="28" t="n">
        <v>9.12</v>
      </c>
      <c r="X18" s="28" t="n">
        <v>9.12</v>
      </c>
      <c r="Y18" s="37" t="n">
        <v>20</v>
      </c>
      <c r="Z18" s="38"/>
      <c r="AA18" s="39"/>
      <c r="AB18" s="39"/>
      <c r="AC18" s="40"/>
      <c r="AD18" s="28" t="n">
        <v>20.12</v>
      </c>
      <c r="AE18" s="28" t="n">
        <v>5</v>
      </c>
      <c r="AF18" s="28" t="n">
        <v>20.12</v>
      </c>
      <c r="AG18" s="28" t="n">
        <v>5</v>
      </c>
      <c r="AH18" s="37" t="n">
        <f aca="false">SUM(AE18,AG18)</f>
        <v>10</v>
      </c>
      <c r="AI18" s="42"/>
      <c r="AJ18" s="43" t="str">
        <f aca="false">IF(AND(S18&gt;=12,Y18&gt;=12,AH18&gt;=6),"да","нет")</f>
        <v>да</v>
      </c>
      <c r="AK18" s="2"/>
      <c r="AL18" s="2" t="n">
        <v>40</v>
      </c>
      <c r="AM18" s="23" t="n">
        <f aca="false">SUM(S18,Y18,AA18,AB18,AH18,AL18,AK18)</f>
        <v>90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495</v>
      </c>
      <c r="C19" s="27" t="s">
        <v>183</v>
      </c>
      <c r="D19" s="27" t="n">
        <v>468100</v>
      </c>
      <c r="E19" s="2" t="s">
        <v>45</v>
      </c>
      <c r="F19" s="2" t="s">
        <v>45</v>
      </c>
      <c r="G19" s="2" t="s">
        <v>45</v>
      </c>
      <c r="H19" s="2" t="s">
        <v>518</v>
      </c>
      <c r="I19" s="2" t="s">
        <v>45</v>
      </c>
      <c r="J19" s="2" t="s">
        <v>519</v>
      </c>
      <c r="K19" s="2" t="s">
        <v>519</v>
      </c>
      <c r="L19" s="2" t="s">
        <v>519</v>
      </c>
      <c r="M19" s="29" t="s">
        <v>45</v>
      </c>
      <c r="N19" s="29" t="s">
        <v>45</v>
      </c>
      <c r="O19" s="29"/>
      <c r="P19" s="30"/>
      <c r="Q19" s="31" t="n">
        <v>5017</v>
      </c>
      <c r="R19" s="39" t="n">
        <v>11.01</v>
      </c>
      <c r="S19" s="33" t="n">
        <v>16</v>
      </c>
      <c r="T19" s="33" t="s">
        <v>526</v>
      </c>
      <c r="U19" s="35" t="n">
        <v>6058</v>
      </c>
      <c r="V19" s="28" t="n">
        <v>18.01</v>
      </c>
      <c r="W19" s="28" t="n">
        <v>18.01</v>
      </c>
      <c r="X19" s="28" t="n">
        <v>18.01</v>
      </c>
      <c r="Y19" s="37" t="n">
        <v>18</v>
      </c>
      <c r="Z19" s="38"/>
      <c r="AA19" s="39"/>
      <c r="AB19" s="39"/>
      <c r="AC19" s="40"/>
      <c r="AD19" s="28" t="n">
        <v>25.01</v>
      </c>
      <c r="AE19" s="28" t="n">
        <v>5</v>
      </c>
      <c r="AF19" s="28" t="n">
        <v>25.01</v>
      </c>
      <c r="AG19" s="28" t="n">
        <v>1</v>
      </c>
      <c r="AH19" s="37" t="n">
        <f aca="false">SUM(AE19,AG19)</f>
        <v>6</v>
      </c>
      <c r="AI19" s="42"/>
      <c r="AJ19" s="43" t="str">
        <f aca="false">IF(AND(S19&gt;=12,Y19&gt;=12,AH19&gt;=6),"да","нет")</f>
        <v>да</v>
      </c>
      <c r="AK19" s="2"/>
      <c r="AL19" s="2" t="n">
        <v>40</v>
      </c>
      <c r="AM19" s="23" t="n">
        <f aca="false">SUM(S19,Y19,AA19,AB19,AH19,AL19,AK19)</f>
        <v>80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9"/>
      <c r="N20" s="29"/>
      <c r="O20" s="29"/>
      <c r="P20" s="30"/>
      <c r="Q20" s="46"/>
      <c r="R20" s="36"/>
      <c r="S20" s="37"/>
      <c r="T20" s="47"/>
      <c r="U20" s="2"/>
      <c r="V20" s="36"/>
      <c r="W20" s="36"/>
      <c r="X20" s="36"/>
      <c r="Y20" s="37"/>
      <c r="Z20" s="38"/>
      <c r="AA20" s="39"/>
      <c r="AB20" s="39"/>
      <c r="AC20" s="48"/>
      <c r="AD20" s="28"/>
      <c r="AE20" s="28"/>
      <c r="AF20" s="28"/>
      <c r="AG20" s="28"/>
      <c r="AH20" s="37" t="n">
        <f aca="false">SUM(AE20,AG20)</f>
        <v>0</v>
      </c>
      <c r="AI20" s="42"/>
      <c r="AJ20" s="43" t="str">
        <f aca="false">IF(AND(S20&gt;=12,Y20&gt;=12,AH20&gt;=6),"да","нет")</f>
        <v>нет</v>
      </c>
      <c r="AK20" s="2"/>
      <c r="AL20" s="2"/>
      <c r="AM20" s="23" t="n">
        <f aca="false">SUM(S20,Y20,AA20,AB20,AH20,AL20,AK20)</f>
        <v>0</v>
      </c>
      <c r="AN20" s="29" t="str">
        <f aca="false">IF(AND(S20&gt;=12,Y20&gt;=12,AH20&gt;=6,AL20&gt;=24,AM20&gt;=60),"Зачет","Незачет")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28"/>
      <c r="AH21" s="37" t="n">
        <f aca="false">SUM(AE21,AG21)</f>
        <v>0</v>
      </c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4</v>
      </c>
      <c r="G25" s="37" t="n">
        <f aca="false">COUNTIF(G$3:G$23, "~**")</f>
        <v>3</v>
      </c>
      <c r="H25" s="37" t="n">
        <f aca="false">COUNTIF(H$3:H$23, "~**")</f>
        <v>7</v>
      </c>
      <c r="I25" s="37" t="n">
        <f aca="false">COUNTIF(I$3:I$23, "~**")</f>
        <v>5</v>
      </c>
      <c r="J25" s="37" t="n">
        <f aca="false">COUNTIF(J$3:J$23, "~**")</f>
        <v>10</v>
      </c>
      <c r="K25" s="37" t="n">
        <f aca="false">COUNTIF(K$3:K$23, "~**")</f>
        <v>10</v>
      </c>
      <c r="L25" s="37" t="n">
        <f aca="false">COUNTIF(L$3:L$23, "~**")</f>
        <v>11</v>
      </c>
      <c r="M25" s="54" t="n">
        <f aca="false">COUNTIF(M$3:M$23, "~**")</f>
        <v>0</v>
      </c>
      <c r="N25" s="54" t="n">
        <f aca="false">COUNTIF(N$3:N$23, "~**")</f>
        <v>0</v>
      </c>
      <c r="O25" s="54" t="n">
        <f aca="false">COUNTIF(O$3:O$23, "~**")</f>
        <v>0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14</v>
      </c>
      <c r="F26" s="37" t="n">
        <f aca="false">COUNTIF(F$3:F$23, "~**")+COUNTIF(F$3:F$23, "Y")</f>
        <v>11</v>
      </c>
      <c r="G26" s="37" t="n">
        <f aca="false">COUNTIF(G$3:G$23, "~**")+COUNTIF(G$3:G$23, "Y")</f>
        <v>8</v>
      </c>
      <c r="H26" s="37" t="n">
        <f aca="false">COUNTIF(H$3:H$23, "~**")+COUNTIF(H$3:H$23, "Y")</f>
        <v>10</v>
      </c>
      <c r="I26" s="37" t="n">
        <f aca="false">COUNTIF(I$3:I$23, "~**")+COUNTIF(I$3:I$23, "Y")</f>
        <v>9</v>
      </c>
      <c r="J26" s="37" t="n">
        <f aca="false">COUNTIF(J$3:J$23, "~**")+COUNTIF(J$3:J$23, "Y")</f>
        <v>13</v>
      </c>
      <c r="K26" s="37" t="n">
        <f aca="false">COUNTIF(K$3:K$23, "~**")+COUNTIF(K$3:K$23, "Y")</f>
        <v>12</v>
      </c>
      <c r="L26" s="37" t="n">
        <f aca="false">COUNTIF(L$3:L$23, "~**")+COUNTIF(L$3:L$23, "Y")</f>
        <v>11</v>
      </c>
      <c r="M26" s="54" t="n">
        <f aca="false">COUNTIF(M$3:M$23, "~**")+COUNTIF(M$3:M$23, "Y")</f>
        <v>8</v>
      </c>
      <c r="N26" s="54" t="n">
        <f aca="false">COUNTIF(N$3:N$23, "~**")+COUNTIF(N$3:N$23, "Y")</f>
        <v>3</v>
      </c>
      <c r="O26" s="54" t="n">
        <f aca="false">COUNTIF(O$3:O$23, "~**")+COUNTIF(O$3:O$23, "Y")</f>
        <v>0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0.8235294118</v>
      </c>
      <c r="T28" s="62"/>
      <c r="U28" s="61"/>
      <c r="V28" s="61"/>
      <c r="W28" s="61"/>
      <c r="X28" s="61"/>
      <c r="Y28" s="61" t="n">
        <f aca="false">IFERROR(COUNTA(Y$3:Y23)/COUNTA($B$3:$B$23), 0)</f>
        <v>0.7647058824</v>
      </c>
      <c r="Z28" s="63"/>
      <c r="AA28" s="2"/>
      <c r="AB28" s="2"/>
      <c r="AC28" s="57"/>
      <c r="AE28" s="61" t="n">
        <f aca="false">IFERROR(COUNTIF(AE$3:AE23, "&gt;0")/COUNTA($B$3:$B$22), 0)</f>
        <v>0.8235294118</v>
      </c>
      <c r="AG28" s="61" t="n">
        <f aca="false">IFERROR(COUNTIF(AG$3:AG23, "&gt;0")/COUNTA($B$3:$B$22), 0)</f>
        <v>0.823529411764706</v>
      </c>
      <c r="AH28" s="61" t="n">
        <f aca="false">IFERROR(COUNTIF(AH$3:AH23, "&gt;0")/COUNTA($B$3:$B$22), 0)</f>
        <v>0.823529411764706</v>
      </c>
      <c r="AI28" s="64"/>
      <c r="AJ28" s="65"/>
      <c r="AK28" s="2"/>
      <c r="AL28" s="61" t="n">
        <f aca="false">IFERROR(COUNTIF(AL$3:AL23, "&gt;24")/COUNTA($B$3:$B$22), 0)</f>
        <v>0.7058823529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:S4 Y3:AB23 AH3:AH23 AK3:AL23 S6:S15 S17 S19:S23 T19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4 S5 R6:R10 R12:R15 S16 R17 S18 R19:R23">
    <cfRule type="expression" priority="7" aboveAverage="0" equalAverage="0" bottom="0" percent="0" rank="0" text="" dxfId="5">
      <formula>R3&gt;45230</formula>
    </cfRule>
  </conditionalFormatting>
  <conditionalFormatting sqref="V3:X23 AC3:AG23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8761D"/>
    <outlinePr summaryBelow="0"/>
    <pageSetUpPr fitToPage="false"/>
  </sheetPr>
  <dimension ref="A1:AN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U2" activeCellId="0" sqref="U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8.62"/>
    <col collapsed="false" customWidth="true" hidden="false" outlineLevel="0" max="22" min="22" style="0" width="5.98"/>
    <col collapsed="false" customWidth="true" hidden="false" outlineLevel="0" max="23" min="23" style="0" width="8.62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527</v>
      </c>
      <c r="C1" s="3" t="s">
        <v>81</v>
      </c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9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45192</v>
      </c>
      <c r="F2" s="15" t="n">
        <f aca="false">E2+14</f>
        <v>45206</v>
      </c>
      <c r="G2" s="15" t="n">
        <f aca="false">F2+14</f>
        <v>45220</v>
      </c>
      <c r="H2" s="15" t="n">
        <f aca="false">G2+14</f>
        <v>45234</v>
      </c>
      <c r="I2" s="15" t="n">
        <f aca="false">H2+14</f>
        <v>45248</v>
      </c>
      <c r="J2" s="15" t="n">
        <f aca="false">I2+14</f>
        <v>45262</v>
      </c>
      <c r="K2" s="15" t="n">
        <f aca="false">J2+14</f>
        <v>45276</v>
      </c>
      <c r="L2" s="15" t="n">
        <f aca="false">K2+14</f>
        <v>45290</v>
      </c>
      <c r="M2" s="16" t="n">
        <v>45647</v>
      </c>
      <c r="N2" s="17" t="n">
        <v>45674</v>
      </c>
      <c r="O2" s="17"/>
      <c r="P2" s="18"/>
      <c r="Q2" s="19" t="s">
        <v>17</v>
      </c>
      <c r="R2" s="20" t="s">
        <v>18</v>
      </c>
      <c r="S2" s="19" t="s">
        <v>19</v>
      </c>
      <c r="T2" s="6"/>
      <c r="U2" s="19" t="s">
        <v>17</v>
      </c>
      <c r="V2" s="19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9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80</v>
      </c>
      <c r="C3" s="27" t="s">
        <v>81</v>
      </c>
      <c r="D3" s="27" t="n">
        <v>464900</v>
      </c>
      <c r="E3" s="28" t="s">
        <v>45</v>
      </c>
      <c r="F3" s="28" t="s">
        <v>523</v>
      </c>
      <c r="G3" s="28" t="s">
        <v>45</v>
      </c>
      <c r="H3" s="28"/>
      <c r="I3" s="28" t="s">
        <v>523</v>
      </c>
      <c r="J3" s="28" t="s">
        <v>523</v>
      </c>
      <c r="K3" s="28" t="s">
        <v>523</v>
      </c>
      <c r="L3" s="28" t="s">
        <v>518</v>
      </c>
      <c r="M3" s="29" t="s">
        <v>523</v>
      </c>
      <c r="N3" s="29"/>
      <c r="O3" s="29"/>
      <c r="P3" s="30"/>
      <c r="Q3" s="31" t="n">
        <v>1080</v>
      </c>
      <c r="R3" s="102" t="n">
        <v>45628</v>
      </c>
      <c r="S3" s="33" t="n">
        <v>20</v>
      </c>
      <c r="T3" s="34"/>
      <c r="U3" s="35" t="n">
        <v>8080</v>
      </c>
      <c r="V3" s="36" t="n">
        <v>45642</v>
      </c>
      <c r="W3" s="36" t="n">
        <v>45642</v>
      </c>
      <c r="X3" s="36" t="n">
        <v>45647</v>
      </c>
      <c r="Y3" s="37" t="n">
        <v>20</v>
      </c>
      <c r="Z3" s="38"/>
      <c r="AA3" s="39"/>
      <c r="AB3" s="39"/>
      <c r="AC3" s="40"/>
      <c r="AD3" s="41" t="n">
        <v>45649</v>
      </c>
      <c r="AE3" s="28" t="n">
        <v>5</v>
      </c>
      <c r="AF3" s="41" t="n">
        <v>45649</v>
      </c>
      <c r="AG3" s="28" t="n">
        <v>5</v>
      </c>
      <c r="AH3" s="37" t="n">
        <f aca="false">SUM(AE3,AG3)</f>
        <v>10</v>
      </c>
      <c r="AI3" s="42"/>
      <c r="AJ3" s="43" t="str">
        <f aca="false">IF(AND(S3&gt;=12,Y3&gt;=12,AH3&gt;=6),"да","нет")</f>
        <v>да</v>
      </c>
      <c r="AK3" s="2"/>
      <c r="AL3" s="2" t="n">
        <v>40</v>
      </c>
      <c r="AM3" s="23" t="n">
        <f aca="false">SUM(S3,Y3,AA3,AB3,AH3,AL3,AK3)</f>
        <v>90</v>
      </c>
      <c r="AN3" s="29" t="str">
        <f aca="false">IF(AND(S3&gt;=12,Y3&gt;=12,AH3&gt;=6,AL3&gt;=24,AM3&gt;=60),"Зачет","Незачет")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103</v>
      </c>
      <c r="C4" s="27" t="s">
        <v>81</v>
      </c>
      <c r="D4" s="27" t="n">
        <v>408027</v>
      </c>
      <c r="E4" s="28" t="s">
        <v>518</v>
      </c>
      <c r="F4" s="28" t="s">
        <v>518</v>
      </c>
      <c r="G4" s="28" t="s">
        <v>518</v>
      </c>
      <c r="H4" s="28"/>
      <c r="I4" s="28" t="s">
        <v>518</v>
      </c>
      <c r="J4" s="28" t="s">
        <v>45</v>
      </c>
      <c r="K4" s="28" t="s">
        <v>518</v>
      </c>
      <c r="L4" s="28" t="s">
        <v>518</v>
      </c>
      <c r="M4" s="29" t="s">
        <v>518</v>
      </c>
      <c r="N4" s="29" t="s">
        <v>518</v>
      </c>
      <c r="O4" s="29"/>
      <c r="P4" s="30"/>
      <c r="Q4" s="31" t="n">
        <v>1081</v>
      </c>
      <c r="R4" s="32"/>
      <c r="S4" s="33"/>
      <c r="T4" s="34"/>
      <c r="U4" s="35" t="n">
        <v>8041</v>
      </c>
      <c r="V4" s="36"/>
      <c r="W4" s="36"/>
      <c r="X4" s="36"/>
      <c r="Y4" s="37"/>
      <c r="Z4" s="38"/>
      <c r="AA4" s="39"/>
      <c r="AB4" s="39"/>
      <c r="AC4" s="40"/>
      <c r="AD4" s="41" t="n">
        <v>45649</v>
      </c>
      <c r="AE4" s="28" t="n">
        <v>0.01</v>
      </c>
      <c r="AF4" s="41" t="n">
        <v>45649</v>
      </c>
      <c r="AG4" s="28" t="n">
        <v>0.01</v>
      </c>
      <c r="AH4" s="37" t="n">
        <f aca="false">SUM(AE4,AG4)</f>
        <v>0.02</v>
      </c>
      <c r="AI4" s="42"/>
      <c r="AJ4" s="43" t="str">
        <f aca="false">IF(AND(S4&gt;=12,Y4&gt;=12,AH4&gt;=6),"да","нет")</f>
        <v>нет</v>
      </c>
      <c r="AK4" s="2"/>
      <c r="AL4" s="2"/>
      <c r="AM4" s="23" t="n">
        <f aca="false">SUM(S4,Y4,AA4,AB4,AH4,AL4,AK4)</f>
        <v>0.02</v>
      </c>
      <c r="AN4" s="29" t="str">
        <f aca="false">IF(AND(S4&gt;=12,Y4&gt;=12,AH4&gt;=6,AL4&gt;=24,AM4&gt;=60),"Зачет","Незачет")</f>
        <v>Незачет</v>
      </c>
    </row>
    <row r="5" customFormat="false" ht="15.75" hidden="false" customHeight="false" outlineLevel="0" collapsed="false">
      <c r="A5" s="25" t="n">
        <v>3</v>
      </c>
      <c r="B5" s="26" t="s">
        <v>162</v>
      </c>
      <c r="C5" s="27" t="s">
        <v>81</v>
      </c>
      <c r="D5" s="27" t="n">
        <v>465592</v>
      </c>
      <c r="E5" s="28" t="s">
        <v>45</v>
      </c>
      <c r="F5" s="28" t="s">
        <v>523</v>
      </c>
      <c r="G5" s="28" t="s">
        <v>523</v>
      </c>
      <c r="H5" s="28"/>
      <c r="I5" s="28" t="s">
        <v>523</v>
      </c>
      <c r="J5" s="28" t="s">
        <v>523</v>
      </c>
      <c r="K5" s="28" t="s">
        <v>518</v>
      </c>
      <c r="L5" s="28" t="s">
        <v>518</v>
      </c>
      <c r="M5" s="29"/>
      <c r="N5" s="29"/>
      <c r="O5" s="29"/>
      <c r="P5" s="30"/>
      <c r="Q5" s="31" t="n">
        <v>1082</v>
      </c>
      <c r="R5" s="102" t="n">
        <v>45614</v>
      </c>
      <c r="S5" s="33" t="n">
        <v>20</v>
      </c>
      <c r="T5" s="34"/>
      <c r="U5" s="35" t="n">
        <v>8313</v>
      </c>
      <c r="V5" s="41" t="n">
        <v>45628</v>
      </c>
      <c r="W5" s="41" t="n">
        <v>45628</v>
      </c>
      <c r="X5" s="41" t="n">
        <v>45628</v>
      </c>
      <c r="Y5" s="37" t="n">
        <v>20</v>
      </c>
      <c r="Z5" s="38"/>
      <c r="AA5" s="39"/>
      <c r="AB5" s="39"/>
      <c r="AC5" s="44"/>
      <c r="AD5" s="36" t="n">
        <v>45649</v>
      </c>
      <c r="AE5" s="28" t="n">
        <v>5</v>
      </c>
      <c r="AF5" s="36" t="n">
        <v>45649</v>
      </c>
      <c r="AG5" s="28" t="n">
        <v>5</v>
      </c>
      <c r="AH5" s="37" t="n">
        <f aca="false">SUM(AE5,AG5)</f>
        <v>10</v>
      </c>
      <c r="AI5" s="42"/>
      <c r="AJ5" s="43" t="str">
        <f aca="false">IF(AND(S5&gt;=12,Y5&gt;=12,AH5&gt;=6),"да","нет")</f>
        <v>да</v>
      </c>
      <c r="AK5" s="2"/>
      <c r="AL5" s="2" t="n">
        <v>40</v>
      </c>
      <c r="AM5" s="23" t="n">
        <f aca="false">SUM(S5,Y5,AA5,AB5,AH5,AL5,AK5)</f>
        <v>90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177</v>
      </c>
      <c r="C6" s="27" t="s">
        <v>81</v>
      </c>
      <c r="D6" s="27" t="n">
        <v>465755</v>
      </c>
      <c r="E6" s="28" t="s">
        <v>45</v>
      </c>
      <c r="F6" s="28" t="s">
        <v>45</v>
      </c>
      <c r="G6" s="28" t="s">
        <v>45</v>
      </c>
      <c r="H6" s="28"/>
      <c r="I6" s="28" t="s">
        <v>523</v>
      </c>
      <c r="J6" s="28" t="s">
        <v>523</v>
      </c>
      <c r="K6" s="28" t="s">
        <v>523</v>
      </c>
      <c r="L6" s="28" t="s">
        <v>518</v>
      </c>
      <c r="M6" s="29" t="s">
        <v>523</v>
      </c>
      <c r="N6" s="29"/>
      <c r="O6" s="29"/>
      <c r="P6" s="30"/>
      <c r="Q6" s="31" t="n">
        <v>1083</v>
      </c>
      <c r="R6" s="32" t="n">
        <v>45642</v>
      </c>
      <c r="S6" s="33" t="n">
        <v>19</v>
      </c>
      <c r="T6" s="34"/>
      <c r="U6" s="35" t="n">
        <v>8009</v>
      </c>
      <c r="V6" s="36" t="n">
        <v>45647</v>
      </c>
      <c r="W6" s="36" t="n">
        <v>45647</v>
      </c>
      <c r="X6" s="36" t="n">
        <v>45647</v>
      </c>
      <c r="Y6" s="37" t="n">
        <v>20</v>
      </c>
      <c r="Z6" s="38"/>
      <c r="AA6" s="39"/>
      <c r="AB6" s="39"/>
      <c r="AC6" s="44"/>
      <c r="AD6" s="41" t="n">
        <v>45671</v>
      </c>
      <c r="AE6" s="28" t="n">
        <v>3</v>
      </c>
      <c r="AF6" s="41" t="n">
        <v>45671</v>
      </c>
      <c r="AG6" s="28" t="n">
        <v>3</v>
      </c>
      <c r="AH6" s="37" t="n">
        <f aca="false">SUM(AE6,AG6)</f>
        <v>6</v>
      </c>
      <c r="AI6" s="42"/>
      <c r="AJ6" s="43" t="str">
        <f aca="false">IF(AND(S6&gt;=12,Y6&gt;=12,AH6&gt;=6),"да","нет")</f>
        <v>да</v>
      </c>
      <c r="AK6" s="2"/>
      <c r="AL6" s="2" t="n">
        <v>40</v>
      </c>
      <c r="AM6" s="23" t="n">
        <f aca="false">SUM(S6,Y6,AA6,AB6,AH6,AL6,AK6)</f>
        <v>85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186</v>
      </c>
      <c r="C7" s="27" t="s">
        <v>81</v>
      </c>
      <c r="D7" s="27" t="n">
        <v>465808</v>
      </c>
      <c r="E7" s="28" t="s">
        <v>45</v>
      </c>
      <c r="F7" s="28" t="s">
        <v>45</v>
      </c>
      <c r="G7" s="28" t="s">
        <v>518</v>
      </c>
      <c r="H7" s="28"/>
      <c r="I7" s="28" t="s">
        <v>518</v>
      </c>
      <c r="J7" s="28" t="s">
        <v>45</v>
      </c>
      <c r="K7" s="28" t="s">
        <v>523</v>
      </c>
      <c r="L7" s="28" t="s">
        <v>523</v>
      </c>
      <c r="M7" s="29"/>
      <c r="N7" s="29" t="s">
        <v>523</v>
      </c>
      <c r="O7" s="29"/>
      <c r="P7" s="30"/>
      <c r="Q7" s="31" t="n">
        <v>1084</v>
      </c>
      <c r="R7" s="32" t="n">
        <v>45674</v>
      </c>
      <c r="S7" s="33" t="n">
        <v>17</v>
      </c>
      <c r="T7" s="34"/>
      <c r="U7" s="35" t="n">
        <v>1084</v>
      </c>
      <c r="V7" s="36" t="n">
        <v>45685</v>
      </c>
      <c r="W7" s="36" t="n">
        <v>45685</v>
      </c>
      <c r="X7" s="77" t="n">
        <v>45685</v>
      </c>
      <c r="Y7" s="37" t="n">
        <v>15</v>
      </c>
      <c r="Z7" s="38"/>
      <c r="AA7" s="39"/>
      <c r="AB7" s="39"/>
      <c r="AC7" s="40"/>
      <c r="AD7" s="41" t="n">
        <v>45649</v>
      </c>
      <c r="AE7" s="28" t="n">
        <v>5</v>
      </c>
      <c r="AF7" s="41" t="n">
        <v>45649</v>
      </c>
      <c r="AG7" s="28" t="n">
        <v>5</v>
      </c>
      <c r="AH7" s="37" t="n">
        <f aca="false">SUM(AE7,AG7)</f>
        <v>10</v>
      </c>
      <c r="AI7" s="42"/>
      <c r="AJ7" s="43" t="str">
        <f aca="false">IF(AND(S7&gt;=12,Y7&gt;=12,AH7&gt;=6),"да","нет")</f>
        <v>да</v>
      </c>
      <c r="AK7" s="2"/>
      <c r="AL7" s="2" t="n">
        <v>40</v>
      </c>
      <c r="AM7" s="23" t="n">
        <f aca="false">SUM(S7,Y7,AA7,AB7,AH7,AL7,AK7)</f>
        <v>82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528</v>
      </c>
      <c r="C8" s="27" t="s">
        <v>81</v>
      </c>
      <c r="D8" s="27" t="n">
        <v>406492</v>
      </c>
      <c r="E8" s="28" t="s">
        <v>45</v>
      </c>
      <c r="F8" s="28" t="s">
        <v>45</v>
      </c>
      <c r="G8" s="28" t="s">
        <v>45</v>
      </c>
      <c r="H8" s="28"/>
      <c r="I8" s="28" t="s">
        <v>523</v>
      </c>
      <c r="J8" s="28" t="s">
        <v>523</v>
      </c>
      <c r="K8" s="28" t="s">
        <v>518</v>
      </c>
      <c r="L8" s="28" t="s">
        <v>523</v>
      </c>
      <c r="M8" s="29" t="s">
        <v>523</v>
      </c>
      <c r="N8" s="29"/>
      <c r="O8" s="29"/>
      <c r="P8" s="30"/>
      <c r="Q8" s="31" t="n">
        <v>1085</v>
      </c>
      <c r="R8" s="32" t="n">
        <v>45642</v>
      </c>
      <c r="S8" s="33" t="n">
        <v>20</v>
      </c>
      <c r="T8" s="34"/>
      <c r="U8" s="35" t="n">
        <v>8017</v>
      </c>
      <c r="V8" s="36" t="n">
        <v>45647</v>
      </c>
      <c r="W8" s="36" t="n">
        <v>45647</v>
      </c>
      <c r="X8" s="36" t="n">
        <v>45656</v>
      </c>
      <c r="Y8" s="37" t="n">
        <v>20</v>
      </c>
      <c r="Z8" s="38"/>
      <c r="AA8" s="39"/>
      <c r="AB8" s="39"/>
      <c r="AC8" s="40"/>
      <c r="AD8" s="41" t="n">
        <v>45649</v>
      </c>
      <c r="AE8" s="28" t="n">
        <v>4</v>
      </c>
      <c r="AF8" s="41" t="n">
        <v>45649</v>
      </c>
      <c r="AG8" s="28" t="n">
        <v>4</v>
      </c>
      <c r="AH8" s="37" t="n">
        <f aca="false">SUM(AE8,AG8)</f>
        <v>8</v>
      </c>
      <c r="AI8" s="42"/>
      <c r="AJ8" s="43" t="str">
        <f aca="false">IF(AND(S8&gt;=12,Y8&gt;=12,AH8&gt;=6),"да","нет")</f>
        <v>да</v>
      </c>
      <c r="AK8" s="2"/>
      <c r="AL8" s="2" t="n">
        <v>40</v>
      </c>
      <c r="AM8" s="23" t="n">
        <f aca="false">SUM(S8,Y8,AA8,AB8,AH8,AL8,AK8)</f>
        <v>88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237</v>
      </c>
      <c r="C9" s="27" t="s">
        <v>81</v>
      </c>
      <c r="D9" s="27" t="n">
        <v>466273</v>
      </c>
      <c r="E9" s="28" t="s">
        <v>45</v>
      </c>
      <c r="F9" s="28" t="s">
        <v>523</v>
      </c>
      <c r="G9" s="28" t="s">
        <v>523</v>
      </c>
      <c r="H9" s="28"/>
      <c r="I9" s="28" t="s">
        <v>523</v>
      </c>
      <c r="J9" s="28" t="s">
        <v>45</v>
      </c>
      <c r="K9" s="28" t="s">
        <v>523</v>
      </c>
      <c r="L9" s="28" t="s">
        <v>518</v>
      </c>
      <c r="M9" s="29" t="s">
        <v>523</v>
      </c>
      <c r="N9" s="29"/>
      <c r="O9" s="29"/>
      <c r="P9" s="30"/>
      <c r="Q9" s="31" t="n">
        <v>1086</v>
      </c>
      <c r="R9" s="102" t="n">
        <v>45614</v>
      </c>
      <c r="S9" s="33" t="n">
        <v>20</v>
      </c>
      <c r="T9" s="34"/>
      <c r="U9" s="35" t="n">
        <v>8005</v>
      </c>
      <c r="V9" s="36" t="n">
        <v>45642</v>
      </c>
      <c r="W9" s="36" t="n">
        <v>45647</v>
      </c>
      <c r="X9" s="36" t="n">
        <v>45647</v>
      </c>
      <c r="Y9" s="37" t="n">
        <v>20</v>
      </c>
      <c r="Z9" s="38"/>
      <c r="AA9" s="39"/>
      <c r="AB9" s="39"/>
      <c r="AC9" s="44"/>
      <c r="AD9" s="41" t="n">
        <v>45671</v>
      </c>
      <c r="AE9" s="28" t="n">
        <v>3</v>
      </c>
      <c r="AF9" s="41" t="n">
        <v>45671</v>
      </c>
      <c r="AG9" s="28" t="n">
        <v>3</v>
      </c>
      <c r="AH9" s="37" t="n">
        <f aca="false">SUM(AE9,AG9)</f>
        <v>6</v>
      </c>
      <c r="AI9" s="42"/>
      <c r="AJ9" s="43" t="str">
        <f aca="false">IF(AND(S9&gt;=12,Y9&gt;=12,AH9&gt;=6),"да","нет")</f>
        <v>да</v>
      </c>
      <c r="AK9" s="2"/>
      <c r="AL9" s="2" t="n">
        <v>40</v>
      </c>
      <c r="AM9" s="23" t="n">
        <f aca="false">SUM(S9,Y9,AA9,AB9,AH9,AL9,AK9)</f>
        <v>86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259</v>
      </c>
      <c r="C10" s="27" t="s">
        <v>81</v>
      </c>
      <c r="D10" s="27" t="n">
        <v>466386</v>
      </c>
      <c r="E10" s="28" t="s">
        <v>45</v>
      </c>
      <c r="F10" s="28" t="s">
        <v>45</v>
      </c>
      <c r="G10" s="28" t="s">
        <v>45</v>
      </c>
      <c r="H10" s="28"/>
      <c r="I10" s="28" t="s">
        <v>523</v>
      </c>
      <c r="J10" s="28" t="s">
        <v>523</v>
      </c>
      <c r="K10" s="28" t="s">
        <v>523</v>
      </c>
      <c r="L10" s="28" t="s">
        <v>518</v>
      </c>
      <c r="M10" s="29" t="s">
        <v>523</v>
      </c>
      <c r="N10" s="29"/>
      <c r="O10" s="29"/>
      <c r="P10" s="30"/>
      <c r="Q10" s="31" t="n">
        <v>1087</v>
      </c>
      <c r="R10" s="32" t="n">
        <v>45642</v>
      </c>
      <c r="S10" s="33" t="n">
        <v>20</v>
      </c>
      <c r="T10" s="34"/>
      <c r="U10" s="35" t="n">
        <v>8008</v>
      </c>
      <c r="V10" s="36" t="n">
        <v>45647</v>
      </c>
      <c r="W10" s="36" t="n">
        <v>45647</v>
      </c>
      <c r="X10" s="36" t="n">
        <v>45647</v>
      </c>
      <c r="Y10" s="37" t="n">
        <v>20</v>
      </c>
      <c r="Z10" s="38"/>
      <c r="AA10" s="39"/>
      <c r="AB10" s="39"/>
      <c r="AC10" s="40"/>
      <c r="AD10" s="41" t="n">
        <v>45649</v>
      </c>
      <c r="AE10" s="28" t="n">
        <v>5</v>
      </c>
      <c r="AF10" s="41" t="n">
        <v>45649</v>
      </c>
      <c r="AG10" s="28" t="n">
        <v>5</v>
      </c>
      <c r="AH10" s="37" t="n">
        <f aca="false">SUM(AE10,AG10)</f>
        <v>10</v>
      </c>
      <c r="AI10" s="42"/>
      <c r="AJ10" s="43" t="str">
        <f aca="false">IF(AND(S10&gt;=12,Y10&gt;=12,AH10&gt;=6),"да","нет")</f>
        <v>да</v>
      </c>
      <c r="AK10" s="2"/>
      <c r="AL10" s="2" t="n">
        <v>40</v>
      </c>
      <c r="AM10" s="23" t="n">
        <f aca="false">SUM(S10,Y10,AA10,AB10,AH10,AL10,AK10)</f>
        <v>90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279</v>
      </c>
      <c r="C11" s="27" t="s">
        <v>81</v>
      </c>
      <c r="D11" s="27" t="n">
        <v>472158</v>
      </c>
      <c r="E11" s="28" t="s">
        <v>45</v>
      </c>
      <c r="F11" s="28" t="s">
        <v>518</v>
      </c>
      <c r="G11" s="28" t="s">
        <v>45</v>
      </c>
      <c r="H11" s="28"/>
      <c r="I11" s="28" t="s">
        <v>518</v>
      </c>
      <c r="J11" s="28" t="s">
        <v>518</v>
      </c>
      <c r="K11" s="28" t="s">
        <v>518</v>
      </c>
      <c r="L11" s="28" t="s">
        <v>518</v>
      </c>
      <c r="M11" s="29"/>
      <c r="N11" s="29"/>
      <c r="O11" s="29"/>
      <c r="P11" s="30"/>
      <c r="Q11" s="31" t="n">
        <v>1088</v>
      </c>
      <c r="R11" s="32"/>
      <c r="S11" s="33"/>
      <c r="T11" s="34"/>
      <c r="U11" s="35"/>
      <c r="V11" s="36"/>
      <c r="W11" s="36"/>
      <c r="X11" s="36"/>
      <c r="Y11" s="37"/>
      <c r="Z11" s="38"/>
      <c r="AA11" s="39"/>
      <c r="AB11" s="39"/>
      <c r="AC11" s="40"/>
      <c r="AD11" s="41" t="n">
        <v>45649</v>
      </c>
      <c r="AE11" s="28" t="n">
        <v>5</v>
      </c>
      <c r="AF11" s="41" t="n">
        <v>45649</v>
      </c>
      <c r="AG11" s="28" t="n">
        <v>5</v>
      </c>
      <c r="AH11" s="37" t="n">
        <f aca="false">SUM(AE11,AG11)</f>
        <v>10</v>
      </c>
      <c r="AI11" s="42"/>
      <c r="AJ11" s="43" t="str">
        <f aca="false">IF(AND(S11&gt;=12,Y11&gt;=12,AH11&gt;=6),"да","нет")</f>
        <v>нет</v>
      </c>
      <c r="AK11" s="2"/>
      <c r="AL11" s="2"/>
      <c r="AM11" s="23" t="n">
        <f aca="false">SUM(S11,Y11,AA11,AB11,AH11,AL11,AK11)</f>
        <v>10</v>
      </c>
      <c r="AN11" s="29" t="str">
        <f aca="false">IF(AND(S11&gt;=12,Y11&gt;=12,AH11&gt;=6,AL11&gt;=24,AM11&gt;=60),"Зачет","Незачет")</f>
        <v>Незачет</v>
      </c>
    </row>
    <row r="12" customFormat="false" ht="15.75" hidden="false" customHeight="false" outlineLevel="0" collapsed="false">
      <c r="A12" s="25" t="n">
        <v>10</v>
      </c>
      <c r="B12" s="26" t="s">
        <v>307</v>
      </c>
      <c r="C12" s="27" t="s">
        <v>81</v>
      </c>
      <c r="D12" s="27" t="n">
        <v>374751</v>
      </c>
      <c r="E12" s="28" t="s">
        <v>45</v>
      </c>
      <c r="F12" s="28" t="s">
        <v>518</v>
      </c>
      <c r="G12" s="28" t="s">
        <v>45</v>
      </c>
      <c r="H12" s="28"/>
      <c r="I12" s="28" t="s">
        <v>518</v>
      </c>
      <c r="J12" s="28" t="s">
        <v>518</v>
      </c>
      <c r="K12" s="28" t="s">
        <v>518</v>
      </c>
      <c r="L12" s="28" t="s">
        <v>523</v>
      </c>
      <c r="M12" s="29" t="s">
        <v>523</v>
      </c>
      <c r="N12" s="29"/>
      <c r="O12" s="29"/>
      <c r="P12" s="30"/>
      <c r="Q12" s="31" t="n">
        <v>1089</v>
      </c>
      <c r="R12" s="32" t="n">
        <v>45674</v>
      </c>
      <c r="S12" s="33" t="n">
        <v>17</v>
      </c>
      <c r="T12" s="34"/>
      <c r="U12" s="35" t="n">
        <v>8089</v>
      </c>
      <c r="V12" s="36" t="n">
        <v>45685</v>
      </c>
      <c r="W12" s="36" t="n">
        <v>45685</v>
      </c>
      <c r="X12" s="36" t="n">
        <v>45685</v>
      </c>
      <c r="Y12" s="37" t="n">
        <v>15</v>
      </c>
      <c r="Z12" s="38"/>
      <c r="AA12" s="39"/>
      <c r="AB12" s="39"/>
      <c r="AC12" s="40"/>
      <c r="AD12" s="41" t="n">
        <v>45671</v>
      </c>
      <c r="AE12" s="28" t="n">
        <v>3</v>
      </c>
      <c r="AF12" s="41" t="n">
        <v>45671</v>
      </c>
      <c r="AG12" s="28" t="n">
        <v>3</v>
      </c>
      <c r="AH12" s="37" t="n">
        <f aca="false">SUM(AE12,AG12)</f>
        <v>6</v>
      </c>
      <c r="AI12" s="42"/>
      <c r="AJ12" s="43" t="str">
        <f aca="false">IF(AND(S12&gt;=12,Y12&gt;=12,AH12&gt;=6),"да","нет")</f>
        <v>да</v>
      </c>
      <c r="AK12" s="2"/>
      <c r="AL12" s="2" t="n">
        <v>40</v>
      </c>
      <c r="AM12" s="23" t="n">
        <f aca="false">SUM(S12,Y12,AA12,AB12,AH12,AL12,AK12)</f>
        <v>78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362</v>
      </c>
      <c r="C13" s="27" t="s">
        <v>81</v>
      </c>
      <c r="D13" s="27" t="n">
        <v>467157</v>
      </c>
      <c r="E13" s="28" t="s">
        <v>45</v>
      </c>
      <c r="F13" s="28" t="s">
        <v>518</v>
      </c>
      <c r="G13" s="28" t="s">
        <v>518</v>
      </c>
      <c r="H13" s="28"/>
      <c r="I13" s="28" t="s">
        <v>523</v>
      </c>
      <c r="J13" s="28" t="s">
        <v>523</v>
      </c>
      <c r="K13" s="28" t="s">
        <v>518</v>
      </c>
      <c r="L13" s="28" t="s">
        <v>518</v>
      </c>
      <c r="M13" s="29" t="s">
        <v>523</v>
      </c>
      <c r="N13" s="29"/>
      <c r="O13" s="29"/>
      <c r="P13" s="30"/>
      <c r="Q13" s="31" t="n">
        <v>1090</v>
      </c>
      <c r="R13" s="102" t="n">
        <v>45628</v>
      </c>
      <c r="S13" s="33" t="n">
        <v>20</v>
      </c>
      <c r="T13" s="34"/>
      <c r="U13" s="35" t="n">
        <v>8069</v>
      </c>
      <c r="V13" s="36" t="n">
        <v>45647</v>
      </c>
      <c r="W13" s="36" t="n">
        <v>45647</v>
      </c>
      <c r="X13" s="36" t="n">
        <v>45647</v>
      </c>
      <c r="Y13" s="37" t="n">
        <v>20</v>
      </c>
      <c r="Z13" s="38"/>
      <c r="AA13" s="39"/>
      <c r="AB13" s="39"/>
      <c r="AC13" s="40"/>
      <c r="AD13" s="41" t="n">
        <v>45649</v>
      </c>
      <c r="AE13" s="28" t="n">
        <v>4</v>
      </c>
      <c r="AF13" s="41" t="n">
        <v>45649</v>
      </c>
      <c r="AG13" s="28" t="n">
        <v>4</v>
      </c>
      <c r="AH13" s="37" t="n">
        <f aca="false">SUM(AE13,AG13)</f>
        <v>8</v>
      </c>
      <c r="AI13" s="42"/>
      <c r="AJ13" s="43" t="str">
        <f aca="false">IF(AND(S13&gt;=12,Y13&gt;=12,AH13&gt;=6),"да","нет")</f>
        <v>да</v>
      </c>
      <c r="AK13" s="2"/>
      <c r="AL13" s="2" t="n">
        <v>40</v>
      </c>
      <c r="AM13" s="23" t="n">
        <f aca="false">SUM(S13,Y13,AA13,AB13,AH13,AL13,AK13)</f>
        <v>88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376</v>
      </c>
      <c r="C14" s="27" t="s">
        <v>81</v>
      </c>
      <c r="D14" s="27" t="n">
        <v>467233</v>
      </c>
      <c r="E14" s="28" t="s">
        <v>45</v>
      </c>
      <c r="F14" s="28" t="s">
        <v>45</v>
      </c>
      <c r="G14" s="28" t="s">
        <v>518</v>
      </c>
      <c r="H14" s="28"/>
      <c r="I14" s="28" t="s">
        <v>523</v>
      </c>
      <c r="J14" s="28" t="s">
        <v>518</v>
      </c>
      <c r="K14" s="28" t="s">
        <v>523</v>
      </c>
      <c r="L14" s="28" t="s">
        <v>518</v>
      </c>
      <c r="M14" s="29" t="s">
        <v>523</v>
      </c>
      <c r="N14" s="29"/>
      <c r="O14" s="29"/>
      <c r="P14" s="30"/>
      <c r="Q14" s="31" t="n">
        <v>1091</v>
      </c>
      <c r="R14" s="32" t="n">
        <v>45642</v>
      </c>
      <c r="S14" s="33" t="n">
        <v>20</v>
      </c>
      <c r="T14" s="34"/>
      <c r="U14" s="35" t="n">
        <v>8011</v>
      </c>
      <c r="V14" s="36" t="n">
        <v>45647</v>
      </c>
      <c r="W14" s="36" t="n">
        <v>45647</v>
      </c>
      <c r="X14" s="36" t="n">
        <v>45647</v>
      </c>
      <c r="Y14" s="37" t="n">
        <v>20</v>
      </c>
      <c r="Z14" s="38"/>
      <c r="AA14" s="39"/>
      <c r="AB14" s="39"/>
      <c r="AC14" s="40"/>
      <c r="AD14" s="41" t="n">
        <v>45649</v>
      </c>
      <c r="AE14" s="28" t="n">
        <v>5</v>
      </c>
      <c r="AF14" s="41" t="n">
        <v>45649</v>
      </c>
      <c r="AG14" s="28" t="n">
        <v>5</v>
      </c>
      <c r="AH14" s="37" t="n">
        <f aca="false">SUM(AE14,AG14)</f>
        <v>10</v>
      </c>
      <c r="AI14" s="42"/>
      <c r="AJ14" s="43" t="str">
        <f aca="false">IF(AND(S14&gt;=12,Y14&gt;=12,AH14&gt;=6),"да","нет")</f>
        <v>да</v>
      </c>
      <c r="AK14" s="2"/>
      <c r="AL14" s="2" t="n">
        <v>40</v>
      </c>
      <c r="AM14" s="23" t="n">
        <f aca="false">SUM(S14,Y14,AA14,AB14,AH14,AL14,AK14)</f>
        <v>90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529</v>
      </c>
      <c r="C15" s="27" t="s">
        <v>81</v>
      </c>
      <c r="D15" s="27" t="n">
        <v>467234</v>
      </c>
      <c r="E15" s="28" t="s">
        <v>45</v>
      </c>
      <c r="F15" s="28" t="s">
        <v>518</v>
      </c>
      <c r="G15" s="28" t="s">
        <v>45</v>
      </c>
      <c r="H15" s="28"/>
      <c r="I15" s="28" t="s">
        <v>523</v>
      </c>
      <c r="J15" s="28" t="s">
        <v>523</v>
      </c>
      <c r="K15" s="28" t="s">
        <v>523</v>
      </c>
      <c r="L15" s="28" t="s">
        <v>523</v>
      </c>
      <c r="M15" s="29"/>
      <c r="N15" s="29"/>
      <c r="O15" s="29"/>
      <c r="P15" s="30"/>
      <c r="Q15" s="31" t="n">
        <v>1092</v>
      </c>
      <c r="R15" s="32" t="n">
        <v>45642</v>
      </c>
      <c r="S15" s="33" t="n">
        <v>16</v>
      </c>
      <c r="T15" s="34"/>
      <c r="U15" s="35" t="n">
        <v>8010</v>
      </c>
      <c r="V15" s="36" t="n">
        <v>45656</v>
      </c>
      <c r="W15" s="36" t="n">
        <v>45656</v>
      </c>
      <c r="X15" s="36" t="n">
        <v>45656</v>
      </c>
      <c r="Y15" s="37" t="n">
        <v>17</v>
      </c>
      <c r="Z15" s="38"/>
      <c r="AA15" s="39"/>
      <c r="AB15" s="39"/>
      <c r="AC15" s="40"/>
      <c r="AD15" s="41" t="n">
        <v>45672</v>
      </c>
      <c r="AE15" s="28" t="n">
        <v>3.02</v>
      </c>
      <c r="AF15" s="41" t="n">
        <v>45672</v>
      </c>
      <c r="AG15" s="28" t="n">
        <v>3.02</v>
      </c>
      <c r="AH15" s="37" t="n">
        <f aca="false">SUM(AE15,AG15)</f>
        <v>6.04</v>
      </c>
      <c r="AI15" s="42"/>
      <c r="AJ15" s="43" t="str">
        <f aca="false">IF(AND(S15&gt;=12,Y15&gt;=12,AH15&gt;=6),"да","нет")</f>
        <v>да</v>
      </c>
      <c r="AK15" s="2"/>
      <c r="AL15" s="2" t="n">
        <v>40</v>
      </c>
      <c r="AM15" s="23" t="n">
        <f aca="false">SUM(S15,Y15,AA15,AB15,AH15,AL15,AK15)</f>
        <v>79.04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422</v>
      </c>
      <c r="C16" s="27" t="s">
        <v>81</v>
      </c>
      <c r="D16" s="27" t="n">
        <v>467537</v>
      </c>
      <c r="E16" s="28" t="s">
        <v>45</v>
      </c>
      <c r="F16" s="28" t="s">
        <v>523</v>
      </c>
      <c r="G16" s="28" t="s">
        <v>523</v>
      </c>
      <c r="H16" s="28"/>
      <c r="I16" s="28" t="s">
        <v>523</v>
      </c>
      <c r="J16" s="28" t="s">
        <v>523</v>
      </c>
      <c r="K16" s="28" t="s">
        <v>523</v>
      </c>
      <c r="L16" s="28" t="s">
        <v>518</v>
      </c>
      <c r="M16" s="29"/>
      <c r="N16" s="29"/>
      <c r="O16" s="29"/>
      <c r="P16" s="30"/>
      <c r="Q16" s="31" t="n">
        <v>1093</v>
      </c>
      <c r="R16" s="102" t="n">
        <v>45614</v>
      </c>
      <c r="S16" s="33" t="n">
        <v>20</v>
      </c>
      <c r="T16" s="34"/>
      <c r="U16" s="35" t="n">
        <v>8019</v>
      </c>
      <c r="V16" s="36" t="n">
        <v>45642</v>
      </c>
      <c r="W16" s="36" t="n">
        <v>45642</v>
      </c>
      <c r="X16" s="36" t="n">
        <v>45642</v>
      </c>
      <c r="Y16" s="37" t="n">
        <v>20</v>
      </c>
      <c r="Z16" s="38"/>
      <c r="AA16" s="39"/>
      <c r="AB16" s="39"/>
      <c r="AC16" s="40"/>
      <c r="AD16" s="41" t="n">
        <v>45649</v>
      </c>
      <c r="AE16" s="28" t="n">
        <v>5</v>
      </c>
      <c r="AF16" s="41" t="n">
        <v>45649</v>
      </c>
      <c r="AG16" s="28" t="n">
        <v>5</v>
      </c>
      <c r="AH16" s="37" t="n">
        <f aca="false">SUM(AE16,AG16)</f>
        <v>10</v>
      </c>
      <c r="AI16" s="42"/>
      <c r="AJ16" s="43" t="str">
        <f aca="false">IF(AND(S16&gt;=12,Y16&gt;=12,AH16&gt;=6),"да","нет")</f>
        <v>да</v>
      </c>
      <c r="AK16" s="2"/>
      <c r="AL16" s="2" t="n">
        <v>40</v>
      </c>
      <c r="AM16" s="23" t="n">
        <f aca="false">SUM(S16,Y16,AA16,AB16,AH16,AL16,AK16)</f>
        <v>90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434</v>
      </c>
      <c r="C17" s="27" t="s">
        <v>81</v>
      </c>
      <c r="D17" s="27" t="n">
        <v>407956</v>
      </c>
      <c r="E17" s="28" t="s">
        <v>45</v>
      </c>
      <c r="F17" s="28" t="s">
        <v>45</v>
      </c>
      <c r="G17" s="28" t="s">
        <v>45</v>
      </c>
      <c r="H17" s="28"/>
      <c r="I17" s="28" t="s">
        <v>518</v>
      </c>
      <c r="J17" s="28" t="s">
        <v>45</v>
      </c>
      <c r="K17" s="28" t="s">
        <v>523</v>
      </c>
      <c r="L17" s="28" t="s">
        <v>518</v>
      </c>
      <c r="M17" s="29"/>
      <c r="N17" s="29"/>
      <c r="O17" s="29"/>
      <c r="P17" s="30"/>
      <c r="Q17" s="31" t="n">
        <v>1094</v>
      </c>
      <c r="R17" s="32" t="n">
        <v>45647</v>
      </c>
      <c r="S17" s="33" t="n">
        <v>15</v>
      </c>
      <c r="T17" s="34"/>
      <c r="U17" s="35" t="n">
        <v>8094</v>
      </c>
      <c r="V17" s="36" t="n">
        <v>45656</v>
      </c>
      <c r="W17" s="36" t="n">
        <v>45674</v>
      </c>
      <c r="X17" s="36" t="n">
        <v>45674</v>
      </c>
      <c r="Y17" s="37" t="n">
        <v>18</v>
      </c>
      <c r="Z17" s="38"/>
      <c r="AA17" s="39"/>
      <c r="AB17" s="39"/>
      <c r="AC17" s="44"/>
      <c r="AD17" s="41" t="n">
        <v>45671</v>
      </c>
      <c r="AE17" s="28" t="n">
        <v>3</v>
      </c>
      <c r="AF17" s="41" t="n">
        <v>45671</v>
      </c>
      <c r="AG17" s="28" t="n">
        <v>3</v>
      </c>
      <c r="AH17" s="37" t="n">
        <f aca="false">SUM(AE17,AG17)</f>
        <v>6</v>
      </c>
      <c r="AI17" s="42"/>
      <c r="AJ17" s="43" t="str">
        <f aca="false">IF(AND(S17&gt;=12,Y17&gt;=12,AH17&gt;=6),"да","нет")</f>
        <v>да</v>
      </c>
      <c r="AK17" s="2"/>
      <c r="AL17" s="2" t="n">
        <v>40</v>
      </c>
      <c r="AM17" s="23" t="n">
        <f aca="false">SUM(S17,Y17,AA17,AB17,AH17,AL17,AK17)</f>
        <v>79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448</v>
      </c>
      <c r="C18" s="27" t="s">
        <v>81</v>
      </c>
      <c r="D18" s="27" t="n">
        <v>372856</v>
      </c>
      <c r="E18" s="28" t="s">
        <v>45</v>
      </c>
      <c r="F18" s="28" t="s">
        <v>518</v>
      </c>
      <c r="G18" s="28" t="s">
        <v>45</v>
      </c>
      <c r="H18" s="28"/>
      <c r="I18" s="28" t="s">
        <v>523</v>
      </c>
      <c r="J18" s="28" t="s">
        <v>523</v>
      </c>
      <c r="K18" s="28" t="s">
        <v>523</v>
      </c>
      <c r="L18" s="28" t="s">
        <v>523</v>
      </c>
      <c r="M18" s="29" t="s">
        <v>523</v>
      </c>
      <c r="N18" s="29"/>
      <c r="O18" s="29"/>
      <c r="P18" s="30"/>
      <c r="Q18" s="31" t="n">
        <v>1095</v>
      </c>
      <c r="R18" s="102" t="n">
        <v>45628</v>
      </c>
      <c r="S18" s="33" t="n">
        <v>19</v>
      </c>
      <c r="T18" s="34"/>
      <c r="U18" s="35" t="n">
        <v>8028</v>
      </c>
      <c r="V18" s="36" t="n">
        <v>45642</v>
      </c>
      <c r="W18" s="36" t="n">
        <v>45642</v>
      </c>
      <c r="X18" s="36" t="n">
        <v>45647</v>
      </c>
      <c r="Y18" s="37" t="n">
        <v>19</v>
      </c>
      <c r="Z18" s="38"/>
      <c r="AA18" s="39"/>
      <c r="AB18" s="39"/>
      <c r="AC18" s="40"/>
      <c r="AD18" s="41" t="n">
        <v>45672</v>
      </c>
      <c r="AE18" s="28" t="n">
        <v>3</v>
      </c>
      <c r="AF18" s="41" t="n">
        <v>45672</v>
      </c>
      <c r="AG18" s="28" t="n">
        <v>3</v>
      </c>
      <c r="AH18" s="37" t="n">
        <v>6</v>
      </c>
      <c r="AI18" s="42"/>
      <c r="AJ18" s="43" t="str">
        <f aca="false">IF(AND(S18&gt;=12,Y18&gt;=12,AH18&gt;=6),"да","нет")</f>
        <v>да</v>
      </c>
      <c r="AK18" s="2"/>
      <c r="AL18" s="2" t="n">
        <v>40</v>
      </c>
      <c r="AM18" s="23" t="n">
        <f aca="false">SUM(S18,Y18,AA18,AB18,AH18,AL18,AK18)</f>
        <v>84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467</v>
      </c>
      <c r="C19" s="27" t="s">
        <v>81</v>
      </c>
      <c r="D19" s="27" t="n">
        <v>467871</v>
      </c>
      <c r="E19" s="28" t="s">
        <v>518</v>
      </c>
      <c r="F19" s="28" t="s">
        <v>518</v>
      </c>
      <c r="G19" s="28" t="s">
        <v>45</v>
      </c>
      <c r="H19" s="28"/>
      <c r="I19" s="28" t="s">
        <v>518</v>
      </c>
      <c r="J19" s="28" t="s">
        <v>45</v>
      </c>
      <c r="K19" s="28" t="s">
        <v>523</v>
      </c>
      <c r="L19" s="28" t="s">
        <v>518</v>
      </c>
      <c r="M19" s="29" t="s">
        <v>523</v>
      </c>
      <c r="N19" s="29"/>
      <c r="O19" s="29"/>
      <c r="P19" s="30"/>
      <c r="Q19" s="31" t="n">
        <v>1096</v>
      </c>
      <c r="R19" s="32" t="n">
        <v>45647</v>
      </c>
      <c r="S19" s="33" t="n">
        <v>18</v>
      </c>
      <c r="T19" s="34"/>
      <c r="U19" s="35" t="n">
        <v>8111</v>
      </c>
      <c r="V19" s="36" t="n">
        <v>45674</v>
      </c>
      <c r="W19" s="36" t="n">
        <v>45674</v>
      </c>
      <c r="X19" s="36" t="n">
        <v>45674</v>
      </c>
      <c r="Y19" s="37" t="n">
        <v>18</v>
      </c>
      <c r="Z19" s="38"/>
      <c r="AA19" s="39"/>
      <c r="AB19" s="39"/>
      <c r="AC19" s="40"/>
      <c r="AD19" s="41" t="n">
        <v>45671</v>
      </c>
      <c r="AE19" s="28" t="n">
        <v>3</v>
      </c>
      <c r="AF19" s="41" t="n">
        <v>45671</v>
      </c>
      <c r="AG19" s="28" t="n">
        <v>3</v>
      </c>
      <c r="AH19" s="37" t="n">
        <f aca="false">SUM(AE19,AG19)</f>
        <v>6</v>
      </c>
      <c r="AI19" s="42"/>
      <c r="AJ19" s="43" t="str">
        <f aca="false">IF(AND(S19&gt;=12,Y19&gt;=12,AH19&gt;=6),"да","нет")</f>
        <v>да</v>
      </c>
      <c r="AK19" s="2"/>
      <c r="AL19" s="2" t="n">
        <v>40</v>
      </c>
      <c r="AM19" s="23" t="n">
        <f aca="false">SUM(S19,Y19,AA19,AB19,AH19,AL19,AK19)</f>
        <v>82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 t="s">
        <v>496</v>
      </c>
      <c r="C20" s="27" t="s">
        <v>81</v>
      </c>
      <c r="D20" s="27" t="n">
        <v>468105</v>
      </c>
      <c r="E20" s="28" t="s">
        <v>45</v>
      </c>
      <c r="F20" s="28" t="s">
        <v>45</v>
      </c>
      <c r="G20" s="28" t="s">
        <v>518</v>
      </c>
      <c r="H20" s="28"/>
      <c r="I20" s="28" t="s">
        <v>523</v>
      </c>
      <c r="J20" s="28" t="s">
        <v>523</v>
      </c>
      <c r="K20" s="28" t="s">
        <v>523</v>
      </c>
      <c r="L20" s="28" t="s">
        <v>518</v>
      </c>
      <c r="M20" s="29"/>
      <c r="N20" s="29"/>
      <c r="O20" s="29"/>
      <c r="P20" s="30"/>
      <c r="Q20" s="31" t="n">
        <v>1097</v>
      </c>
      <c r="R20" s="41" t="n">
        <v>45628</v>
      </c>
      <c r="S20" s="37" t="n">
        <v>20</v>
      </c>
      <c r="T20" s="47"/>
      <c r="U20" s="2" t="n">
        <v>8075</v>
      </c>
      <c r="V20" s="36" t="n">
        <v>45642</v>
      </c>
      <c r="W20" s="36" t="n">
        <v>45642</v>
      </c>
      <c r="X20" s="36" t="n">
        <v>45642</v>
      </c>
      <c r="Y20" s="37" t="n">
        <v>19</v>
      </c>
      <c r="Z20" s="38"/>
      <c r="AA20" s="39"/>
      <c r="AB20" s="39"/>
      <c r="AC20" s="48"/>
      <c r="AD20" s="41" t="n">
        <v>45649</v>
      </c>
      <c r="AE20" s="28" t="n">
        <v>5</v>
      </c>
      <c r="AF20" s="41" t="n">
        <v>45649</v>
      </c>
      <c r="AG20" s="28" t="n">
        <v>4</v>
      </c>
      <c r="AH20" s="37" t="n">
        <f aca="false">SUM(AE20,AG20)</f>
        <v>9</v>
      </c>
      <c r="AI20" s="42"/>
      <c r="AJ20" s="43" t="str">
        <f aca="false">IF(AND(S20&gt;=12,Y20&gt;=12,AH20&gt;=6),"да","нет")</f>
        <v>да</v>
      </c>
      <c r="AK20" s="2"/>
      <c r="AL20" s="2" t="n">
        <v>40</v>
      </c>
      <c r="AM20" s="23" t="n">
        <f aca="false">SUM(S20,Y20,AA20,AB20,AH20,AL20,AK20)</f>
        <v>88</v>
      </c>
      <c r="AN20" s="29" t="str">
        <f aca="false">IF(AND(S20&gt;=12,Y20&gt;=12,AH20&gt;=6,AL20&gt;=24,AM20&gt;=60),"Зачет","Незачет")</f>
        <v>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28"/>
      <c r="AH21" s="37" t="n">
        <f aca="false">SUM(AE21,AG21)</f>
        <v>0</v>
      </c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"W")</f>
        <v>0</v>
      </c>
      <c r="F25" s="37" t="n">
        <f aca="false">COUNTIF(F$3:F$23, "W")</f>
        <v>4</v>
      </c>
      <c r="G25" s="37" t="n">
        <f aca="false">COUNTIF(G$3:G$23, "W")</f>
        <v>3</v>
      </c>
      <c r="H25" s="37" t="n">
        <f aca="false">COUNTIF(H$3:H$23, "W")</f>
        <v>0</v>
      </c>
      <c r="I25" s="37" t="n">
        <f aca="false">COUNTIF(I$3:I$23, "W")</f>
        <v>12</v>
      </c>
      <c r="J25" s="37" t="n">
        <f aca="false">COUNTIF(J$3:J$23, "W")</f>
        <v>10</v>
      </c>
      <c r="K25" s="37" t="n">
        <f aca="false">COUNTIF(K$3:K$23, "W")</f>
        <v>12</v>
      </c>
      <c r="L25" s="37" t="n">
        <f aca="false">COUNTIF(L$3:L$23, "W")</f>
        <v>5</v>
      </c>
      <c r="M25" s="37" t="n">
        <f aca="false">COUNTIF(M$3:M$23, "W")</f>
        <v>10</v>
      </c>
      <c r="N25" s="37" t="n">
        <f aca="false">COUNTIF(N$3:N$23, "W")</f>
        <v>1</v>
      </c>
      <c r="O25" s="37" t="n">
        <f aca="false">COUNTIF(O$3:O$23, "W")</f>
        <v>0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"W")+COUNTIF(E$3:E$23, "Y")</f>
        <v>16</v>
      </c>
      <c r="F26" s="37" t="n">
        <f aca="false">COUNTIF(F$3:F$23, "W")+COUNTIF(F$3:F$23, "Y")</f>
        <v>11</v>
      </c>
      <c r="G26" s="37" t="n">
        <f aca="false">COUNTIF(G$3:G$23, "W")+COUNTIF(G$3:G$23, "Y")</f>
        <v>13</v>
      </c>
      <c r="H26" s="37" t="n">
        <f aca="false">COUNTIF(H$3:H$23, "W")+COUNTIF(H$3:H$23, "Y")</f>
        <v>0</v>
      </c>
      <c r="I26" s="37" t="n">
        <f aca="false">COUNTIF(I$3:I$23, "W")+COUNTIF(I$3:I$23, "Y")</f>
        <v>12</v>
      </c>
      <c r="J26" s="37" t="n">
        <f aca="false">COUNTIF(J$3:J$23, "W")+COUNTIF(J$3:J$23, "Y")</f>
        <v>15</v>
      </c>
      <c r="K26" s="37" t="n">
        <f aca="false">COUNTIF(K$3:K$23, "W")+COUNTIF(K$3:K$23, "Y")</f>
        <v>12</v>
      </c>
      <c r="L26" s="37" t="n">
        <f aca="false">COUNTIF(L$3:L$23, "W")+COUNTIF(L$3:L$23, "Y")</f>
        <v>5</v>
      </c>
      <c r="M26" s="37" t="n">
        <f aca="false">COUNTIF(M$3:M$23, "W")+COUNTIF(M$3:M$23, "Y")</f>
        <v>10</v>
      </c>
      <c r="N26" s="37" t="n">
        <f aca="false">COUNTIF(N$3:N$23, "W")+COUNTIF(N$3:N$23, "Y")</f>
        <v>1</v>
      </c>
      <c r="O26" s="37" t="n">
        <f aca="false">COUNTIF(O$3:O$23, "W")+COUNTIF(O$3:O$23, "Y")</f>
        <v>0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0.8888888889</v>
      </c>
      <c r="T28" s="62"/>
      <c r="U28" s="61"/>
      <c r="V28" s="61"/>
      <c r="W28" s="61"/>
      <c r="X28" s="61"/>
      <c r="Y28" s="61" t="n">
        <f aca="false">IFERROR(COUNTA(Y$3:Y23)/COUNTA($B$3:$B$23), 0)</f>
        <v>0.8888888889</v>
      </c>
      <c r="Z28" s="63"/>
      <c r="AA28" s="2"/>
      <c r="AB28" s="2"/>
      <c r="AC28" s="57"/>
      <c r="AE28" s="61" t="n">
        <f aca="false">IFERROR(COUNTIF(AE$3:AE23, "&gt;=3")/COUNTA($B$3:$B$22), 0)</f>
        <v>0.9444444444</v>
      </c>
      <c r="AG28" s="61" t="n">
        <f aca="false">IFERROR(COUNTIF(AG$3:AG23, "&gt;=3")/COUNTA($B$3:$B$22), 0)</f>
        <v>0.9444444444</v>
      </c>
      <c r="AH28" s="61" t="n">
        <f aca="false">IFERROR(COUNTIF(AH$3:AH23, "&gt;=6")/COUNTA($B$3:$B$22), 0)</f>
        <v>0.9444444444</v>
      </c>
      <c r="AI28" s="64"/>
      <c r="AJ28" s="65"/>
      <c r="AK28" s="2"/>
      <c r="AL28" s="61" t="n">
        <f aca="false">IFERROR(COUNTIF(AL$3:AL23, "&gt;24")/COUNTA($B$3:$B$22), 0)</f>
        <v>0.8888888889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530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:S23 Y3:AB23 AH3:AH23 AK3:AL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3">
    <cfRule type="expression" priority="7" aboveAverage="0" equalAverage="0" bottom="0" percent="0" rank="0" text="" dxfId="5">
      <formula>R3&gt;45596</formula>
    </cfRule>
  </conditionalFormatting>
  <conditionalFormatting sqref="V3:X23 AC3:AG23">
    <cfRule type="expression" priority="8" aboveAverage="0" equalAverage="0" bottom="0" percent="0" rank="0" text="" dxfId="5">
      <formula>V3&gt;45657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1130"/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27.38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531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45190</v>
      </c>
      <c r="F2" s="15" t="n">
        <f aca="false">E2+14</f>
        <v>45204</v>
      </c>
      <c r="G2" s="15" t="n">
        <f aca="false">F2+14</f>
        <v>45218</v>
      </c>
      <c r="H2" s="15" t="n">
        <f aca="false">G2+14</f>
        <v>45232</v>
      </c>
      <c r="I2" s="15" t="n">
        <f aca="false">H2+14</f>
        <v>45246</v>
      </c>
      <c r="J2" s="15" t="n">
        <f aca="false">I2+14</f>
        <v>45260</v>
      </c>
      <c r="K2" s="15" t="n">
        <f aca="false">J2+14</f>
        <v>45274</v>
      </c>
      <c r="L2" s="15" t="n">
        <f aca="false">K2+14</f>
        <v>45288</v>
      </c>
      <c r="M2" s="16" t="n">
        <v>45668</v>
      </c>
      <c r="N2" s="17" t="n">
        <v>45672</v>
      </c>
      <c r="O2" s="17" t="n">
        <v>45679</v>
      </c>
      <c r="P2" s="18"/>
      <c r="Q2" s="19" t="s">
        <v>17</v>
      </c>
      <c r="R2" s="19" t="s">
        <v>18</v>
      </c>
      <c r="S2" s="19" t="s">
        <v>19</v>
      </c>
      <c r="T2" s="6"/>
      <c r="U2" s="19" t="s">
        <v>17</v>
      </c>
      <c r="V2" s="19" t="s">
        <v>20</v>
      </c>
      <c r="W2" s="20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82</v>
      </c>
      <c r="C3" s="27" t="s">
        <v>83</v>
      </c>
      <c r="D3" s="27" t="n">
        <v>471628</v>
      </c>
      <c r="E3" s="28" t="s">
        <v>45</v>
      </c>
      <c r="F3" s="28" t="s">
        <v>45</v>
      </c>
      <c r="G3" s="28" t="s">
        <v>45</v>
      </c>
      <c r="H3" s="28" t="s">
        <v>518</v>
      </c>
      <c r="I3" s="28" t="s">
        <v>523</v>
      </c>
      <c r="J3" s="28" t="s">
        <v>518</v>
      </c>
      <c r="K3" s="28" t="s">
        <v>518</v>
      </c>
      <c r="L3" s="28" t="s">
        <v>518</v>
      </c>
      <c r="M3" s="29"/>
      <c r="N3" s="29"/>
      <c r="O3" s="29"/>
      <c r="P3" s="30"/>
      <c r="Q3" s="31" t="n">
        <v>90010</v>
      </c>
      <c r="R3" s="32"/>
      <c r="S3" s="103"/>
      <c r="T3" s="34"/>
      <c r="U3" s="35"/>
      <c r="V3" s="36"/>
      <c r="W3" s="36"/>
      <c r="X3" s="36"/>
      <c r="Y3" s="37"/>
      <c r="Z3" s="38"/>
      <c r="AA3" s="39"/>
      <c r="AB3" s="39"/>
      <c r="AC3" s="40"/>
      <c r="AD3" s="104" t="n">
        <v>45652</v>
      </c>
      <c r="AE3" s="105" t="n">
        <v>0.1</v>
      </c>
      <c r="AF3" s="104" t="n">
        <v>45652</v>
      </c>
      <c r="AG3" s="105" t="n">
        <v>0</v>
      </c>
      <c r="AH3" s="106" t="n">
        <f aca="false">SUM(AE3,AG3)</f>
        <v>0.1</v>
      </c>
      <c r="AI3" s="42"/>
      <c r="AJ3" s="43" t="str">
        <f aca="false">IF(AND(S3&gt;=12,Y3&gt;=12,AH3&gt;=6),"да","нет")</f>
        <v>нет</v>
      </c>
      <c r="AK3" s="2"/>
      <c r="AL3" s="2"/>
      <c r="AM3" s="23" t="n">
        <f aca="false">SUM(S3,Y3,AA3,AB3,AH3,AL3,AK3)</f>
        <v>0.1</v>
      </c>
      <c r="AN3" s="29" t="str">
        <f aca="false">IF(AND(S3&gt;=12,Y3&gt;=12,AH3&gt;=6,AL3&gt;=24,AM3&gt;=60),"Зачет","Незачет")</f>
        <v>Незачет</v>
      </c>
    </row>
    <row r="4" customFormat="false" ht="15.75" hidden="false" customHeight="false" outlineLevel="0" collapsed="false">
      <c r="A4" s="25" t="n">
        <v>2</v>
      </c>
      <c r="B4" s="26" t="s">
        <v>137</v>
      </c>
      <c r="C4" s="27" t="s">
        <v>83</v>
      </c>
      <c r="D4" s="27" t="n">
        <v>471800</v>
      </c>
      <c r="E4" s="28" t="s">
        <v>45</v>
      </c>
      <c r="F4" s="28" t="s">
        <v>523</v>
      </c>
      <c r="G4" s="28" t="s">
        <v>518</v>
      </c>
      <c r="H4" s="28" t="s">
        <v>523</v>
      </c>
      <c r="I4" s="28" t="s">
        <v>523</v>
      </c>
      <c r="J4" s="28" t="s">
        <v>523</v>
      </c>
      <c r="K4" s="28" t="s">
        <v>523</v>
      </c>
      <c r="L4" s="28" t="s">
        <v>523</v>
      </c>
      <c r="M4" s="29" t="s">
        <v>523</v>
      </c>
      <c r="N4" s="29" t="s">
        <v>523</v>
      </c>
      <c r="O4" s="29"/>
      <c r="P4" s="30"/>
      <c r="Q4" s="31" t="n">
        <v>90011</v>
      </c>
      <c r="R4" s="107" t="n">
        <v>45654</v>
      </c>
      <c r="S4" s="108" t="n">
        <v>12</v>
      </c>
      <c r="T4" s="34"/>
      <c r="U4" s="35" t="n">
        <v>99863</v>
      </c>
      <c r="V4" s="36" t="n">
        <v>45668</v>
      </c>
      <c r="W4" s="36" t="n">
        <v>45668</v>
      </c>
      <c r="X4" s="36" t="n">
        <v>45672</v>
      </c>
      <c r="Y4" s="37" t="n">
        <v>14</v>
      </c>
      <c r="Z4" s="38"/>
      <c r="AA4" s="39"/>
      <c r="AB4" s="39"/>
      <c r="AC4" s="40"/>
      <c r="AD4" s="104" t="n">
        <v>45999</v>
      </c>
      <c r="AE4" s="2" t="n">
        <v>3.03</v>
      </c>
      <c r="AF4" s="104" t="n">
        <v>45999</v>
      </c>
      <c r="AG4" s="105" t="n">
        <v>3</v>
      </c>
      <c r="AH4" s="106" t="n">
        <f aca="false">SUM(AE4,AG4)</f>
        <v>6.03</v>
      </c>
      <c r="AI4" s="42"/>
      <c r="AJ4" s="43" t="str">
        <f aca="false">IF(AND(S4&gt;=12,Y4&gt;=12,AH4&gt;=6),"да","нет")</f>
        <v>да</v>
      </c>
      <c r="AK4" s="2"/>
      <c r="AL4" s="2" t="n">
        <v>32</v>
      </c>
      <c r="AM4" s="23" t="n">
        <f aca="false">SUM(S4,Y4,AA4,AB4,AH4,AL4,AK4)</f>
        <v>64.03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188</v>
      </c>
      <c r="C5" s="27" t="s">
        <v>83</v>
      </c>
      <c r="D5" s="27" t="n">
        <v>465826</v>
      </c>
      <c r="E5" s="28" t="s">
        <v>45</v>
      </c>
      <c r="F5" s="28" t="s">
        <v>518</v>
      </c>
      <c r="G5" s="28" t="s">
        <v>523</v>
      </c>
      <c r="H5" s="28" t="s">
        <v>523</v>
      </c>
      <c r="I5" s="28" t="s">
        <v>523</v>
      </c>
      <c r="J5" s="28" t="s">
        <v>523</v>
      </c>
      <c r="K5" s="28" t="s">
        <v>523</v>
      </c>
      <c r="L5" s="28" t="s">
        <v>523</v>
      </c>
      <c r="M5" s="29"/>
      <c r="N5" s="29"/>
      <c r="O5" s="29"/>
      <c r="P5" s="30"/>
      <c r="Q5" s="31" t="n">
        <v>90012</v>
      </c>
      <c r="R5" s="102" t="n">
        <v>45640</v>
      </c>
      <c r="S5" s="103" t="n">
        <v>16</v>
      </c>
      <c r="T5" s="34"/>
      <c r="U5" s="35" t="n">
        <v>99806</v>
      </c>
      <c r="V5" s="36" t="n">
        <v>45654</v>
      </c>
      <c r="W5" s="36" t="n">
        <v>45654</v>
      </c>
      <c r="X5" s="36" t="n">
        <v>45654</v>
      </c>
      <c r="Y5" s="37" t="n">
        <v>17.5</v>
      </c>
      <c r="Z5" s="38"/>
      <c r="AA5" s="39"/>
      <c r="AB5" s="39"/>
      <c r="AC5" s="44"/>
      <c r="AD5" s="104" t="n">
        <v>45999</v>
      </c>
      <c r="AE5" s="105" t="n">
        <v>3.02</v>
      </c>
      <c r="AF5" s="104" t="n">
        <v>45999</v>
      </c>
      <c r="AG5" s="105" t="n">
        <v>3</v>
      </c>
      <c r="AH5" s="106" t="n">
        <f aca="false">SUM(AE5,AG5)</f>
        <v>6.02</v>
      </c>
      <c r="AI5" s="42"/>
      <c r="AJ5" s="43" t="str">
        <f aca="false">IF(AND(S5&gt;=12,Y5&gt;=12,AH5&gt;=6),"да","нет")</f>
        <v>да</v>
      </c>
      <c r="AK5" s="2"/>
      <c r="AL5" s="2" t="n">
        <v>25</v>
      </c>
      <c r="AM5" s="23" t="n">
        <f aca="false">SUM(S5,Y5,AA5,AB5,AH5,AL5,AK5)</f>
        <v>64.52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210</v>
      </c>
      <c r="C6" s="27" t="s">
        <v>83</v>
      </c>
      <c r="D6" s="27" t="n">
        <v>466049</v>
      </c>
      <c r="E6" s="28" t="s">
        <v>45</v>
      </c>
      <c r="F6" s="28" t="s">
        <v>45</v>
      </c>
      <c r="G6" s="28" t="s">
        <v>45</v>
      </c>
      <c r="H6" s="28" t="s">
        <v>523</v>
      </c>
      <c r="I6" s="28" t="s">
        <v>523</v>
      </c>
      <c r="J6" s="28" t="s">
        <v>523</v>
      </c>
      <c r="K6" s="28" t="s">
        <v>523</v>
      </c>
      <c r="L6" s="28" t="s">
        <v>523</v>
      </c>
      <c r="M6" s="29" t="s">
        <v>523</v>
      </c>
      <c r="N6" s="29" t="s">
        <v>523</v>
      </c>
      <c r="O6" s="29"/>
      <c r="P6" s="30"/>
      <c r="Q6" s="31" t="n">
        <v>90013</v>
      </c>
      <c r="R6" s="107" t="n">
        <v>45654</v>
      </c>
      <c r="S6" s="108" t="n">
        <v>12</v>
      </c>
      <c r="T6" s="34"/>
      <c r="U6" s="35" t="n">
        <v>99758</v>
      </c>
      <c r="V6" s="36" t="n">
        <v>45668</v>
      </c>
      <c r="W6" s="36" t="n">
        <v>45672</v>
      </c>
      <c r="X6" s="36" t="n">
        <v>45675</v>
      </c>
      <c r="Y6" s="109" t="n">
        <v>14</v>
      </c>
      <c r="Z6" s="38"/>
      <c r="AA6" s="39"/>
      <c r="AB6" s="39"/>
      <c r="AC6" s="44"/>
      <c r="AD6" s="104" t="n">
        <v>45999</v>
      </c>
      <c r="AE6" s="105" t="n">
        <v>3.02</v>
      </c>
      <c r="AF6" s="104" t="n">
        <v>45999</v>
      </c>
      <c r="AG6" s="105" t="n">
        <v>3</v>
      </c>
      <c r="AH6" s="106" t="n">
        <f aca="false">SUM(AE6,AG6)</f>
        <v>6.02</v>
      </c>
      <c r="AI6" s="42"/>
      <c r="AJ6" s="43" t="str">
        <f aca="false">IF(AND(S6&gt;=12,Y6&gt;=12,AH6&gt;=6),"да","нет")</f>
        <v>да</v>
      </c>
      <c r="AK6" s="2"/>
      <c r="AL6" s="2" t="n">
        <v>31</v>
      </c>
      <c r="AM6" s="23" t="n">
        <f aca="false">SUM(S6,Y6,AA6,AB6,AH6,AL6,AK6)</f>
        <v>63.02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217</v>
      </c>
      <c r="C7" s="27" t="s">
        <v>83</v>
      </c>
      <c r="D7" s="27" t="n">
        <v>466084</v>
      </c>
      <c r="E7" s="28" t="s">
        <v>45</v>
      </c>
      <c r="F7" s="28" t="s">
        <v>518</v>
      </c>
      <c r="G7" s="28" t="s">
        <v>523</v>
      </c>
      <c r="H7" s="28" t="s">
        <v>523</v>
      </c>
      <c r="I7" s="28" t="s">
        <v>523</v>
      </c>
      <c r="J7" s="28" t="s">
        <v>523</v>
      </c>
      <c r="K7" s="28" t="s">
        <v>523</v>
      </c>
      <c r="L7" s="28" t="s">
        <v>523</v>
      </c>
      <c r="M7" s="29"/>
      <c r="N7" s="29"/>
      <c r="O7" s="29"/>
      <c r="P7" s="30"/>
      <c r="Q7" s="31" t="n">
        <v>90014</v>
      </c>
      <c r="R7" s="110" t="n">
        <v>45640</v>
      </c>
      <c r="S7" s="108" t="n">
        <v>14</v>
      </c>
      <c r="T7" s="34"/>
      <c r="U7" s="35" t="n">
        <v>99802</v>
      </c>
      <c r="V7" s="36" t="n">
        <v>45654</v>
      </c>
      <c r="W7" s="36" t="n">
        <v>45654</v>
      </c>
      <c r="X7" s="36" t="n">
        <v>45654</v>
      </c>
      <c r="Y7" s="111" t="n">
        <v>15.5</v>
      </c>
      <c r="Z7" s="38"/>
      <c r="AA7" s="39"/>
      <c r="AB7" s="39"/>
      <c r="AC7" s="40"/>
      <c r="AD7" s="104" t="n">
        <v>45999</v>
      </c>
      <c r="AE7" s="105" t="n">
        <v>3.02</v>
      </c>
      <c r="AF7" s="104" t="n">
        <v>45999</v>
      </c>
      <c r="AG7" s="105" t="n">
        <v>3</v>
      </c>
      <c r="AH7" s="106" t="n">
        <f aca="false">SUM(AE7,AG7)</f>
        <v>6.02</v>
      </c>
      <c r="AI7" s="42"/>
      <c r="AJ7" s="43" t="str">
        <f aca="false">IF(AND(S7&gt;=12,Y7&gt;=12,AH7&gt;=6),"да","нет")</f>
        <v>да</v>
      </c>
      <c r="AK7" s="2"/>
      <c r="AL7" s="2" t="n">
        <v>28</v>
      </c>
      <c r="AM7" s="23" t="n">
        <f aca="false">SUM(S7,Y7,AA7,AB7,AH7,AL7,AK7)</f>
        <v>63.52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218</v>
      </c>
      <c r="C8" s="27" t="s">
        <v>83</v>
      </c>
      <c r="D8" s="27" t="n">
        <v>466088</v>
      </c>
      <c r="E8" s="28" t="s">
        <v>45</v>
      </c>
      <c r="F8" s="28" t="s">
        <v>45</v>
      </c>
      <c r="G8" s="28" t="s">
        <v>523</v>
      </c>
      <c r="H8" s="28" t="s">
        <v>523</v>
      </c>
      <c r="I8" s="28" t="s">
        <v>523</v>
      </c>
      <c r="J8" s="28" t="s">
        <v>523</v>
      </c>
      <c r="K8" s="28" t="s">
        <v>523</v>
      </c>
      <c r="L8" s="28" t="s">
        <v>523</v>
      </c>
      <c r="M8" s="29" t="s">
        <v>523</v>
      </c>
      <c r="N8" s="29"/>
      <c r="O8" s="29"/>
      <c r="P8" s="30"/>
      <c r="Q8" s="31" t="n">
        <v>90015</v>
      </c>
      <c r="R8" s="110" t="n">
        <v>45640</v>
      </c>
      <c r="S8" s="108" t="n">
        <v>14.2</v>
      </c>
      <c r="T8" s="34"/>
      <c r="U8" s="35" t="n">
        <v>99982</v>
      </c>
      <c r="V8" s="36" t="n">
        <v>45668</v>
      </c>
      <c r="W8" s="36" t="n">
        <v>45672</v>
      </c>
      <c r="X8" s="36" t="n">
        <v>45675</v>
      </c>
      <c r="Y8" s="109" t="n">
        <v>13</v>
      </c>
      <c r="Z8" s="38"/>
      <c r="AA8" s="39"/>
      <c r="AB8" s="39"/>
      <c r="AC8" s="40"/>
      <c r="AD8" s="104" t="n">
        <v>45675</v>
      </c>
      <c r="AE8" s="105" t="n">
        <v>3</v>
      </c>
      <c r="AF8" s="104" t="n">
        <v>45675</v>
      </c>
      <c r="AG8" s="105" t="n">
        <v>3</v>
      </c>
      <c r="AH8" s="106" t="n">
        <f aca="false">SUM(AE8,AG8)</f>
        <v>6</v>
      </c>
      <c r="AI8" s="42"/>
      <c r="AJ8" s="43" t="str">
        <f aca="false">IF(AND(S8&gt;=12,Y8&gt;=12,AH8&gt;=6),"да","нет")</f>
        <v>да</v>
      </c>
      <c r="AK8" s="2"/>
      <c r="AL8" s="2" t="n">
        <v>27</v>
      </c>
      <c r="AM8" s="23" t="n">
        <f aca="false">SUM(S8,Y8,AA8,AB8,AH8,AL8,AK8)</f>
        <v>60.2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253</v>
      </c>
      <c r="C9" s="27" t="s">
        <v>83</v>
      </c>
      <c r="D9" s="27" t="n">
        <v>466369</v>
      </c>
      <c r="E9" s="28" t="s">
        <v>45</v>
      </c>
      <c r="F9" s="28" t="s">
        <v>45</v>
      </c>
      <c r="G9" s="28" t="s">
        <v>45</v>
      </c>
      <c r="H9" s="28" t="s">
        <v>523</v>
      </c>
      <c r="I9" s="28" t="s">
        <v>523</v>
      </c>
      <c r="J9" s="28" t="s">
        <v>523</v>
      </c>
      <c r="K9" s="28" t="s">
        <v>523</v>
      </c>
      <c r="L9" s="28" t="s">
        <v>523</v>
      </c>
      <c r="M9" s="29" t="s">
        <v>523</v>
      </c>
      <c r="N9" s="29" t="s">
        <v>523</v>
      </c>
      <c r="O9" s="29"/>
      <c r="P9" s="30"/>
      <c r="Q9" s="31" t="n">
        <v>90016</v>
      </c>
      <c r="R9" s="107" t="n">
        <v>45654</v>
      </c>
      <c r="S9" s="108" t="n">
        <v>12</v>
      </c>
      <c r="T9" s="34"/>
      <c r="U9" s="35" t="n">
        <v>99123</v>
      </c>
      <c r="V9" s="36" t="n">
        <v>45668</v>
      </c>
      <c r="W9" s="36" t="n">
        <v>45668</v>
      </c>
      <c r="X9" s="36" t="n">
        <v>45672</v>
      </c>
      <c r="Y9" s="109" t="n">
        <v>13</v>
      </c>
      <c r="Z9" s="38"/>
      <c r="AA9" s="39"/>
      <c r="AB9" s="39"/>
      <c r="AC9" s="44"/>
      <c r="AD9" s="104" t="n">
        <v>45675</v>
      </c>
      <c r="AE9" s="105" t="n">
        <v>3</v>
      </c>
      <c r="AF9" s="104" t="n">
        <v>45675</v>
      </c>
      <c r="AG9" s="2" t="n">
        <v>3.01</v>
      </c>
      <c r="AH9" s="106" t="n">
        <f aca="false">SUM(AE9,AG9)</f>
        <v>6.01</v>
      </c>
      <c r="AI9" s="42"/>
      <c r="AJ9" s="43" t="str">
        <f aca="false">IF(AND(S9&gt;=12,Y9&gt;=12,AH9&gt;=6),"да","нет")</f>
        <v>да</v>
      </c>
      <c r="AK9" s="2"/>
      <c r="AL9" s="2" t="n">
        <v>29</v>
      </c>
      <c r="AM9" s="23" t="n">
        <f aca="false">SUM(S9,Y9,AA9,AB9,AH9,AL9,AK9)</f>
        <v>60.01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262</v>
      </c>
      <c r="C10" s="27" t="s">
        <v>83</v>
      </c>
      <c r="D10" s="27" t="n">
        <v>466402</v>
      </c>
      <c r="E10" s="28" t="s">
        <v>45</v>
      </c>
      <c r="F10" s="28" t="s">
        <v>523</v>
      </c>
      <c r="G10" s="28" t="s">
        <v>523</v>
      </c>
      <c r="H10" s="28" t="s">
        <v>523</v>
      </c>
      <c r="I10" s="28" t="s">
        <v>523</v>
      </c>
      <c r="J10" s="28" t="s">
        <v>523</v>
      </c>
      <c r="K10" s="28" t="s">
        <v>523</v>
      </c>
      <c r="L10" s="28" t="s">
        <v>523</v>
      </c>
      <c r="M10" s="29"/>
      <c r="N10" s="29"/>
      <c r="O10" s="29"/>
      <c r="P10" s="30"/>
      <c r="Q10" s="31" t="n">
        <v>90017</v>
      </c>
      <c r="R10" s="112" t="n">
        <v>45598</v>
      </c>
      <c r="S10" s="108" t="n">
        <v>17</v>
      </c>
      <c r="T10" s="34"/>
      <c r="U10" s="35" t="n">
        <v>99065</v>
      </c>
      <c r="V10" s="36" t="n">
        <v>45626</v>
      </c>
      <c r="W10" s="36" t="n">
        <v>45654</v>
      </c>
      <c r="X10" s="36" t="n">
        <v>45654</v>
      </c>
      <c r="Y10" s="109" t="n">
        <v>17</v>
      </c>
      <c r="Z10" s="38"/>
      <c r="AA10" s="39"/>
      <c r="AB10" s="39"/>
      <c r="AC10" s="40"/>
      <c r="AD10" s="104" t="n">
        <v>45652</v>
      </c>
      <c r="AE10" s="111" t="n">
        <v>5</v>
      </c>
      <c r="AF10" s="104" t="n">
        <v>45652</v>
      </c>
      <c r="AG10" s="111" t="n">
        <v>5</v>
      </c>
      <c r="AH10" s="106" t="n">
        <f aca="false">SUM(AE10,AG10)</f>
        <v>10</v>
      </c>
      <c r="AI10" s="42"/>
      <c r="AJ10" s="43" t="str">
        <f aca="false">IF(AND(S10&gt;=12,Y10&gt;=12,AH10&gt;=6),"да","нет")</f>
        <v>да</v>
      </c>
      <c r="AK10" s="2"/>
      <c r="AL10" s="2" t="n">
        <v>40</v>
      </c>
      <c r="AM10" s="23" t="n">
        <f aca="false">SUM(S10,Y10,AA10,AB10,AH10,AL10,AK10)</f>
        <v>84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268</v>
      </c>
      <c r="C11" s="27" t="s">
        <v>83</v>
      </c>
      <c r="D11" s="27" t="n">
        <v>466468</v>
      </c>
      <c r="E11" s="28" t="s">
        <v>45</v>
      </c>
      <c r="F11" s="28" t="s">
        <v>45</v>
      </c>
      <c r="G11" s="28" t="s">
        <v>523</v>
      </c>
      <c r="H11" s="28" t="s">
        <v>523</v>
      </c>
      <c r="I11" s="28" t="s">
        <v>523</v>
      </c>
      <c r="J11" s="28" t="s">
        <v>523</v>
      </c>
      <c r="K11" s="28" t="s">
        <v>523</v>
      </c>
      <c r="L11" s="28" t="s">
        <v>523</v>
      </c>
      <c r="M11" s="29"/>
      <c r="N11" s="29"/>
      <c r="O11" s="29"/>
      <c r="P11" s="30"/>
      <c r="Q11" s="31" t="n">
        <v>90018</v>
      </c>
      <c r="R11" s="110" t="n">
        <v>45626</v>
      </c>
      <c r="S11" s="108" t="n">
        <v>17.1</v>
      </c>
      <c r="T11" s="34"/>
      <c r="U11" s="35" t="n">
        <v>99071</v>
      </c>
      <c r="V11" s="36" t="n">
        <v>45640</v>
      </c>
      <c r="W11" s="36" t="n">
        <v>45640</v>
      </c>
      <c r="X11" s="36" t="n">
        <v>45654</v>
      </c>
      <c r="Y11" s="109" t="n">
        <v>20</v>
      </c>
      <c r="Z11" s="38"/>
      <c r="AA11" s="39"/>
      <c r="AB11" s="39"/>
      <c r="AC11" s="40"/>
      <c r="AD11" s="104" t="n">
        <v>45652</v>
      </c>
      <c r="AE11" s="111" t="n">
        <v>5</v>
      </c>
      <c r="AF11" s="104" t="n">
        <v>45652</v>
      </c>
      <c r="AG11" s="111" t="n">
        <v>5</v>
      </c>
      <c r="AH11" s="106" t="n">
        <f aca="false">SUM(AE11,AG11)</f>
        <v>10</v>
      </c>
      <c r="AI11" s="42"/>
      <c r="AJ11" s="43" t="str">
        <f aca="false">IF(AND(S11&gt;=12,Y11&gt;=12,AH11&gt;=6),"да","нет")</f>
        <v>да</v>
      </c>
      <c r="AK11" s="2"/>
      <c r="AL11" s="2" t="n">
        <v>40</v>
      </c>
      <c r="AM11" s="23" t="n">
        <f aca="false">SUM(S11,Y11,AA11,AB11,AH11,AL11,AK11)</f>
        <v>87.1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113" t="s">
        <v>313</v>
      </c>
      <c r="C12" s="27" t="s">
        <v>83</v>
      </c>
      <c r="D12" s="27" t="n">
        <v>375301</v>
      </c>
      <c r="E12" s="28" t="s">
        <v>45</v>
      </c>
      <c r="F12" s="28" t="s">
        <v>45</v>
      </c>
      <c r="G12" s="28" t="s">
        <v>523</v>
      </c>
      <c r="H12" s="28" t="s">
        <v>518</v>
      </c>
      <c r="I12" s="28" t="s">
        <v>523</v>
      </c>
      <c r="J12" s="28" t="s">
        <v>523</v>
      </c>
      <c r="K12" s="28" t="s">
        <v>523</v>
      </c>
      <c r="L12" s="28" t="s">
        <v>523</v>
      </c>
      <c r="M12" s="29" t="s">
        <v>523</v>
      </c>
      <c r="N12" s="29"/>
      <c r="O12" s="29"/>
      <c r="P12" s="30"/>
      <c r="Q12" s="31" t="n">
        <v>90019</v>
      </c>
      <c r="R12" s="110" t="n">
        <v>45640</v>
      </c>
      <c r="S12" s="108" t="n">
        <v>18</v>
      </c>
      <c r="T12" s="34"/>
      <c r="U12" s="35" t="n">
        <v>993457</v>
      </c>
      <c r="V12" s="36" t="n">
        <v>45668</v>
      </c>
      <c r="W12" s="36" t="n">
        <v>45668</v>
      </c>
      <c r="X12" s="36" t="n">
        <v>45668</v>
      </c>
      <c r="Y12" s="109" t="n">
        <v>17</v>
      </c>
      <c r="Z12" s="38"/>
      <c r="AA12" s="39"/>
      <c r="AB12" s="39"/>
      <c r="AC12" s="40"/>
      <c r="AD12" s="104" t="n">
        <v>45999</v>
      </c>
      <c r="AE12" s="105" t="n">
        <v>3.02</v>
      </c>
      <c r="AF12" s="104" t="n">
        <v>45999</v>
      </c>
      <c r="AG12" s="105" t="n">
        <v>3</v>
      </c>
      <c r="AH12" s="106" t="n">
        <f aca="false">SUM(AE12,AG12)</f>
        <v>6.02</v>
      </c>
      <c r="AI12" s="42"/>
      <c r="AJ12" s="43" t="str">
        <f aca="false">IF(AND(S12&gt;=12,Y12&gt;=12,AH12&gt;=6),"да","нет")</f>
        <v>да</v>
      </c>
      <c r="AK12" s="2"/>
      <c r="AL12" s="2" t="n">
        <v>35</v>
      </c>
      <c r="AM12" s="23" t="n">
        <f aca="false">SUM(S12,Y12,AA12,AB12,AH12,AL12,AK12)</f>
        <v>76.02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321</v>
      </c>
      <c r="C13" s="27" t="s">
        <v>83</v>
      </c>
      <c r="D13" s="27" t="n">
        <v>466824</v>
      </c>
      <c r="E13" s="28" t="s">
        <v>45</v>
      </c>
      <c r="F13" s="28" t="s">
        <v>518</v>
      </c>
      <c r="G13" s="28" t="s">
        <v>518</v>
      </c>
      <c r="H13" s="28" t="s">
        <v>523</v>
      </c>
      <c r="I13" s="28" t="s">
        <v>523</v>
      </c>
      <c r="J13" s="28" t="s">
        <v>523</v>
      </c>
      <c r="K13" s="28" t="s">
        <v>523</v>
      </c>
      <c r="L13" s="28" t="s">
        <v>523</v>
      </c>
      <c r="M13" s="29"/>
      <c r="N13" s="29" t="s">
        <v>523</v>
      </c>
      <c r="O13" s="29"/>
      <c r="P13" s="30"/>
      <c r="Q13" s="31" t="n">
        <v>90020</v>
      </c>
      <c r="R13" s="107" t="n">
        <v>45654</v>
      </c>
      <c r="S13" s="108" t="n">
        <v>12</v>
      </c>
      <c r="T13" s="34"/>
      <c r="U13" s="35" t="n">
        <v>99764</v>
      </c>
      <c r="V13" s="36" t="n">
        <v>45672</v>
      </c>
      <c r="W13" s="36" t="n">
        <v>45672</v>
      </c>
      <c r="X13" s="36" t="n">
        <v>45710</v>
      </c>
      <c r="Y13" s="109" t="n">
        <v>12</v>
      </c>
      <c r="Z13" s="38"/>
      <c r="AA13" s="39"/>
      <c r="AB13" s="39"/>
      <c r="AC13" s="40"/>
      <c r="AD13" s="104" t="n">
        <v>45999</v>
      </c>
      <c r="AE13" s="105" t="n">
        <v>3.02</v>
      </c>
      <c r="AF13" s="104" t="n">
        <v>45999</v>
      </c>
      <c r="AG13" s="105" t="n">
        <v>3</v>
      </c>
      <c r="AH13" s="106" t="n">
        <f aca="false">SUM(AE13,AG13)</f>
        <v>6.02</v>
      </c>
      <c r="AI13" s="42"/>
      <c r="AJ13" s="43" t="str">
        <f aca="false">IF(AND(S13&gt;=12,Y13&gt;=12,AH13&gt;=6),"да","нет")</f>
        <v>да</v>
      </c>
      <c r="AK13" s="2"/>
      <c r="AL13" s="2" t="n">
        <v>30</v>
      </c>
      <c r="AM13" s="23" t="n">
        <f aca="false">SUM(S13,Y13,AA13,AB13,AH13,AL13,AK13)</f>
        <v>60.02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331</v>
      </c>
      <c r="C14" s="27" t="s">
        <v>83</v>
      </c>
      <c r="D14" s="27" t="n">
        <v>472302</v>
      </c>
      <c r="E14" s="28" t="s">
        <v>45</v>
      </c>
      <c r="F14" s="28" t="s">
        <v>518</v>
      </c>
      <c r="G14" s="28" t="s">
        <v>523</v>
      </c>
      <c r="H14" s="28" t="s">
        <v>523</v>
      </c>
      <c r="I14" s="28" t="s">
        <v>523</v>
      </c>
      <c r="J14" s="28" t="s">
        <v>518</v>
      </c>
      <c r="K14" s="28" t="s">
        <v>523</v>
      </c>
      <c r="L14" s="28" t="s">
        <v>523</v>
      </c>
      <c r="M14" s="29" t="s">
        <v>523</v>
      </c>
      <c r="N14" s="29" t="s">
        <v>523</v>
      </c>
      <c r="O14" s="29"/>
      <c r="P14" s="30"/>
      <c r="Q14" s="31" t="n">
        <v>90021</v>
      </c>
      <c r="R14" s="107" t="n">
        <v>45654</v>
      </c>
      <c r="S14" s="108" t="n">
        <v>16</v>
      </c>
      <c r="T14" s="34"/>
      <c r="U14" s="2" t="n">
        <v>99486</v>
      </c>
      <c r="V14" s="36" t="n">
        <v>45668</v>
      </c>
      <c r="W14" s="36" t="n">
        <v>45672</v>
      </c>
      <c r="X14" s="36" t="n">
        <v>45675</v>
      </c>
      <c r="Y14" s="109" t="n">
        <v>14</v>
      </c>
      <c r="Z14" s="38"/>
      <c r="AA14" s="39"/>
      <c r="AB14" s="39"/>
      <c r="AC14" s="40"/>
      <c r="AD14" s="104" t="n">
        <v>45999</v>
      </c>
      <c r="AE14" s="105" t="n">
        <v>3.03</v>
      </c>
      <c r="AF14" s="104" t="n">
        <v>45999</v>
      </c>
      <c r="AG14" s="105" t="n">
        <v>3</v>
      </c>
      <c r="AH14" s="106" t="n">
        <f aca="false">SUM(AE14,AG14)</f>
        <v>6.03</v>
      </c>
      <c r="AI14" s="105" t="n">
        <v>3</v>
      </c>
      <c r="AJ14" s="43" t="str">
        <f aca="false">IF(AND(S14&gt;=12,Y14&gt;=12,AH14&gt;=6),"да","нет")</f>
        <v>да</v>
      </c>
      <c r="AK14" s="2"/>
      <c r="AL14" s="2" t="n">
        <v>24</v>
      </c>
      <c r="AM14" s="23" t="n">
        <f aca="false">SUM(S14,Y14,AA14,AB14,AH14,AL14,AK14)</f>
        <v>60.03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359</v>
      </c>
      <c r="C15" s="27" t="s">
        <v>83</v>
      </c>
      <c r="D15" s="27" t="n">
        <v>467141</v>
      </c>
      <c r="E15" s="28" t="s">
        <v>45</v>
      </c>
      <c r="F15" s="28" t="s">
        <v>523</v>
      </c>
      <c r="G15" s="28" t="s">
        <v>523</v>
      </c>
      <c r="H15" s="28" t="s">
        <v>523</v>
      </c>
      <c r="I15" s="28" t="s">
        <v>45</v>
      </c>
      <c r="J15" s="28" t="s">
        <v>518</v>
      </c>
      <c r="K15" s="28" t="s">
        <v>523</v>
      </c>
      <c r="L15" s="28" t="s">
        <v>523</v>
      </c>
      <c r="M15" s="29"/>
      <c r="N15" s="29"/>
      <c r="O15" s="29"/>
      <c r="P15" s="30"/>
      <c r="Q15" s="31" t="n">
        <v>90022</v>
      </c>
      <c r="R15" s="112" t="n">
        <v>45598</v>
      </c>
      <c r="S15" s="108" t="n">
        <v>18</v>
      </c>
      <c r="T15" s="34"/>
      <c r="U15" s="35" t="n">
        <v>99087</v>
      </c>
      <c r="V15" s="36" t="n">
        <v>45612</v>
      </c>
      <c r="W15" s="36" t="n">
        <v>45640</v>
      </c>
      <c r="X15" s="36" t="n">
        <v>45654</v>
      </c>
      <c r="Y15" s="109" t="n">
        <v>17</v>
      </c>
      <c r="Z15" s="38"/>
      <c r="AA15" s="39"/>
      <c r="AB15" s="39"/>
      <c r="AC15" s="40"/>
      <c r="AD15" s="104" t="n">
        <v>45652</v>
      </c>
      <c r="AE15" s="111" t="n">
        <v>4</v>
      </c>
      <c r="AF15" s="104" t="n">
        <v>45652</v>
      </c>
      <c r="AG15" s="111" t="n">
        <v>4</v>
      </c>
      <c r="AH15" s="106" t="n">
        <f aca="false">SUM(AE15,AG15)</f>
        <v>8</v>
      </c>
      <c r="AI15" s="42"/>
      <c r="AJ15" s="43" t="str">
        <f aca="false">IF(AND(S15&gt;=12,Y15&gt;=12,AH15&gt;=6),"да","нет")</f>
        <v>да</v>
      </c>
      <c r="AK15" s="2"/>
      <c r="AL15" s="37" t="n">
        <v>38</v>
      </c>
      <c r="AM15" s="23" t="n">
        <f aca="false">SUM(S15,Y15,AA15,AB15,AH15,AL15,AK15)</f>
        <v>81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374</v>
      </c>
      <c r="C16" s="27" t="s">
        <v>83</v>
      </c>
      <c r="D16" s="27" t="n">
        <v>414249</v>
      </c>
      <c r="E16" s="28" t="s">
        <v>45</v>
      </c>
      <c r="F16" s="28" t="s">
        <v>518</v>
      </c>
      <c r="G16" s="28" t="s">
        <v>45</v>
      </c>
      <c r="H16" s="28" t="s">
        <v>523</v>
      </c>
      <c r="I16" s="28" t="s">
        <v>518</v>
      </c>
      <c r="J16" s="28" t="s">
        <v>523</v>
      </c>
      <c r="K16" s="28" t="s">
        <v>523</v>
      </c>
      <c r="L16" s="28" t="s">
        <v>523</v>
      </c>
      <c r="M16" s="29" t="s">
        <v>523</v>
      </c>
      <c r="N16" s="29"/>
      <c r="O16" s="29"/>
      <c r="P16" s="30"/>
      <c r="Q16" s="31" t="n">
        <v>90023</v>
      </c>
      <c r="R16" s="107" t="n">
        <v>45668</v>
      </c>
      <c r="S16" s="108" t="n">
        <v>12</v>
      </c>
      <c r="T16" s="34"/>
      <c r="U16" s="35" t="n">
        <v>99052</v>
      </c>
      <c r="V16" s="36" t="n">
        <v>46004</v>
      </c>
      <c r="W16" s="77" t="n">
        <v>45717</v>
      </c>
      <c r="X16" s="77" t="n">
        <v>45718</v>
      </c>
      <c r="Y16" s="109" t="n">
        <v>12</v>
      </c>
      <c r="Z16" s="38"/>
      <c r="AA16" s="39"/>
      <c r="AB16" s="39"/>
      <c r="AC16" s="40"/>
      <c r="AD16" s="104" t="n">
        <v>45675</v>
      </c>
      <c r="AE16" s="105" t="n">
        <v>3.02</v>
      </c>
      <c r="AF16" s="104" t="n">
        <v>45675</v>
      </c>
      <c r="AG16" s="105" t="n">
        <v>3</v>
      </c>
      <c r="AH16" s="106" t="n">
        <f aca="false">SUM(AE16,AG16)</f>
        <v>6.02</v>
      </c>
      <c r="AI16" s="42"/>
      <c r="AJ16" s="43" t="str">
        <f aca="false">IF(AND(S16&gt;=12,Y16&gt;=12,AH16&gt;=6),"да","нет")</f>
        <v>да</v>
      </c>
      <c r="AK16" s="2"/>
      <c r="AL16" s="2" t="n">
        <v>30</v>
      </c>
      <c r="AM16" s="23" t="n">
        <f aca="false">SUM(S16,Y16,AA16,AB16,AH16,AL16,AK16)</f>
        <v>60.02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378</v>
      </c>
      <c r="C17" s="27" t="s">
        <v>83</v>
      </c>
      <c r="D17" s="27" t="n">
        <v>467237</v>
      </c>
      <c r="E17" s="28" t="s">
        <v>45</v>
      </c>
      <c r="F17" s="28" t="s">
        <v>523</v>
      </c>
      <c r="G17" s="28" t="s">
        <v>523</v>
      </c>
      <c r="H17" s="28" t="s">
        <v>523</v>
      </c>
      <c r="I17" s="28" t="s">
        <v>523</v>
      </c>
      <c r="J17" s="28" t="s">
        <v>523</v>
      </c>
      <c r="K17" s="28" t="s">
        <v>523</v>
      </c>
      <c r="L17" s="28" t="s">
        <v>518</v>
      </c>
      <c r="M17" s="29" t="s">
        <v>523</v>
      </c>
      <c r="N17" s="29" t="s">
        <v>523</v>
      </c>
      <c r="O17" s="29"/>
      <c r="P17" s="30"/>
      <c r="Q17" s="31" t="n">
        <v>90024</v>
      </c>
      <c r="R17" s="114" t="n">
        <v>45640</v>
      </c>
      <c r="S17" s="108" t="n">
        <v>16.4</v>
      </c>
      <c r="T17" s="34"/>
      <c r="U17" s="35" t="n">
        <v>99450</v>
      </c>
      <c r="V17" s="36" t="n">
        <v>45654</v>
      </c>
      <c r="W17" s="36" t="n">
        <v>45668</v>
      </c>
      <c r="X17" s="36" t="n">
        <v>45672</v>
      </c>
      <c r="Y17" s="109" t="n">
        <v>15</v>
      </c>
      <c r="Z17" s="38"/>
      <c r="AA17" s="39"/>
      <c r="AB17" s="39"/>
      <c r="AC17" s="44"/>
      <c r="AD17" s="104" t="n">
        <v>45652</v>
      </c>
      <c r="AE17" s="111" t="n">
        <v>4</v>
      </c>
      <c r="AF17" s="104" t="n">
        <v>45652</v>
      </c>
      <c r="AG17" s="111" t="n">
        <v>3</v>
      </c>
      <c r="AH17" s="106" t="n">
        <f aca="false">SUM(AE17,AG17)</f>
        <v>7</v>
      </c>
      <c r="AI17" s="42"/>
      <c r="AJ17" s="43" t="str">
        <f aca="false">IF(AND(S17&gt;=12,Y17&gt;=12,AH17&gt;=6),"да","нет")</f>
        <v>да</v>
      </c>
      <c r="AK17" s="2"/>
      <c r="AL17" s="2" t="n">
        <v>24</v>
      </c>
      <c r="AM17" s="23" t="n">
        <f aca="false">SUM(S17,Y17,AA17,AB17,AH17,AL17,AK17)</f>
        <v>62.4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421</v>
      </c>
      <c r="C18" s="27" t="s">
        <v>83</v>
      </c>
      <c r="D18" s="27" t="n">
        <v>467530</v>
      </c>
      <c r="E18" s="28" t="s">
        <v>45</v>
      </c>
      <c r="F18" s="28" t="s">
        <v>45</v>
      </c>
      <c r="G18" s="28" t="s">
        <v>523</v>
      </c>
      <c r="H18" s="28" t="s">
        <v>523</v>
      </c>
      <c r="I18" s="28" t="s">
        <v>523</v>
      </c>
      <c r="J18" s="28" t="s">
        <v>523</v>
      </c>
      <c r="K18" s="28" t="s">
        <v>523</v>
      </c>
      <c r="L18" s="28" t="s">
        <v>518</v>
      </c>
      <c r="M18" s="29"/>
      <c r="N18" s="29"/>
      <c r="O18" s="29"/>
      <c r="P18" s="30"/>
      <c r="Q18" s="31" t="n">
        <v>90025</v>
      </c>
      <c r="R18" s="110" t="n">
        <v>45640</v>
      </c>
      <c r="S18" s="108" t="n">
        <v>16</v>
      </c>
      <c r="T18" s="34"/>
      <c r="U18" s="35" t="n">
        <v>99463</v>
      </c>
      <c r="V18" s="36" t="n">
        <v>45640</v>
      </c>
      <c r="W18" s="36" t="n">
        <v>45672</v>
      </c>
      <c r="X18" s="36" t="n">
        <v>45675</v>
      </c>
      <c r="Y18" s="109" t="n">
        <v>14</v>
      </c>
      <c r="Z18" s="38"/>
      <c r="AA18" s="39"/>
      <c r="AB18" s="39"/>
      <c r="AC18" s="40"/>
      <c r="AD18" s="104" t="n">
        <v>45675</v>
      </c>
      <c r="AE18" s="105" t="n">
        <v>3</v>
      </c>
      <c r="AF18" s="104" t="n">
        <v>45675</v>
      </c>
      <c r="AG18" s="105" t="n">
        <v>3</v>
      </c>
      <c r="AH18" s="106" t="n">
        <f aca="false">SUM(AE18,AG18)</f>
        <v>6</v>
      </c>
      <c r="AI18" s="42"/>
      <c r="AJ18" s="43" t="str">
        <f aca="false">IF(AND(S18&gt;=12,Y18&gt;=12,AH18&gt;=6),"да","нет")</f>
        <v>да</v>
      </c>
      <c r="AK18" s="2"/>
      <c r="AL18" s="2" t="n">
        <v>25</v>
      </c>
      <c r="AM18" s="23" t="n">
        <f aca="false">SUM(S18,Y18,AA18,AB18,AH18,AL18,AK18)</f>
        <v>61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450</v>
      </c>
      <c r="C19" s="27" t="s">
        <v>83</v>
      </c>
      <c r="D19" s="27" t="n">
        <v>467696</v>
      </c>
      <c r="E19" s="28" t="s">
        <v>45</v>
      </c>
      <c r="F19" s="28" t="s">
        <v>518</v>
      </c>
      <c r="G19" s="28" t="s">
        <v>523</v>
      </c>
      <c r="H19" s="28" t="s">
        <v>523</v>
      </c>
      <c r="I19" s="28" t="s">
        <v>523</v>
      </c>
      <c r="J19" s="28" t="s">
        <v>523</v>
      </c>
      <c r="K19" s="28" t="s">
        <v>523</v>
      </c>
      <c r="L19" s="28" t="s">
        <v>523</v>
      </c>
      <c r="M19" s="29"/>
      <c r="N19" s="29" t="s">
        <v>523</v>
      </c>
      <c r="O19" s="29"/>
      <c r="P19" s="30"/>
      <c r="Q19" s="31" t="n">
        <v>90026</v>
      </c>
      <c r="R19" s="110" t="n">
        <v>45640</v>
      </c>
      <c r="S19" s="108" t="n">
        <v>15</v>
      </c>
      <c r="T19" s="34"/>
      <c r="U19" s="35" t="n">
        <v>99567</v>
      </c>
      <c r="V19" s="36" t="n">
        <v>45654</v>
      </c>
      <c r="W19" s="36" t="n">
        <v>45654</v>
      </c>
      <c r="X19" s="36" t="n">
        <v>45654</v>
      </c>
      <c r="Y19" s="109" t="n">
        <v>18</v>
      </c>
      <c r="Z19" s="38"/>
      <c r="AA19" s="39"/>
      <c r="AB19" s="39"/>
      <c r="AC19" s="40"/>
      <c r="AD19" s="104" t="n">
        <v>45652</v>
      </c>
      <c r="AE19" s="111" t="n">
        <v>5</v>
      </c>
      <c r="AF19" s="104" t="n">
        <v>45652</v>
      </c>
      <c r="AG19" s="111" t="n">
        <v>5</v>
      </c>
      <c r="AH19" s="106" t="n">
        <f aca="false">SUM(AE19,AG19)</f>
        <v>10</v>
      </c>
      <c r="AI19" s="42"/>
      <c r="AJ19" s="43" t="str">
        <f aca="false">IF(AND(S19&gt;=12,Y19&gt;=12,AH19&gt;=6),"да","нет")</f>
        <v>да</v>
      </c>
      <c r="AK19" s="2"/>
      <c r="AL19" s="2" t="n">
        <v>40</v>
      </c>
      <c r="AM19" s="23" t="n">
        <f aca="false">SUM(S19,Y19,AA19,AB19,AH19,AL19,AK19)</f>
        <v>83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 t="s">
        <v>462</v>
      </c>
      <c r="C20" s="27" t="s">
        <v>83</v>
      </c>
      <c r="D20" s="27" t="n">
        <v>467830</v>
      </c>
      <c r="E20" s="28" t="s">
        <v>45</v>
      </c>
      <c r="F20" s="28" t="s">
        <v>523</v>
      </c>
      <c r="G20" s="28" t="s">
        <v>523</v>
      </c>
      <c r="H20" s="28" t="s">
        <v>523</v>
      </c>
      <c r="I20" s="28" t="s">
        <v>523</v>
      </c>
      <c r="J20" s="28" t="s">
        <v>523</v>
      </c>
      <c r="K20" s="28" t="s">
        <v>523</v>
      </c>
      <c r="L20" s="28" t="s">
        <v>518</v>
      </c>
      <c r="M20" s="29" t="s">
        <v>523</v>
      </c>
      <c r="N20" s="29"/>
      <c r="O20" s="29"/>
      <c r="P20" s="30"/>
      <c r="Q20" s="31" t="n">
        <v>90027</v>
      </c>
      <c r="R20" s="110" t="n">
        <v>45626</v>
      </c>
      <c r="S20" s="115" t="n">
        <v>17.1</v>
      </c>
      <c r="T20" s="47"/>
      <c r="U20" s="2" t="n">
        <v>99561</v>
      </c>
      <c r="V20" s="36" t="n">
        <v>46005</v>
      </c>
      <c r="W20" s="36" t="n">
        <v>45668</v>
      </c>
      <c r="X20" s="36" t="n">
        <v>45668</v>
      </c>
      <c r="Y20" s="109" t="n">
        <v>16</v>
      </c>
      <c r="Z20" s="38"/>
      <c r="AA20" s="39"/>
      <c r="AB20" s="39"/>
      <c r="AC20" s="48"/>
      <c r="AD20" s="104" t="n">
        <v>45652</v>
      </c>
      <c r="AE20" s="111" t="n">
        <v>5</v>
      </c>
      <c r="AF20" s="104" t="n">
        <v>45652</v>
      </c>
      <c r="AG20" s="111" t="n">
        <v>5</v>
      </c>
      <c r="AH20" s="106" t="n">
        <f aca="false">SUM(AE20,AG20)</f>
        <v>10</v>
      </c>
      <c r="AI20" s="42"/>
      <c r="AJ20" s="43" t="str">
        <f aca="false">IF(AND(S20&gt;=12,Y20&gt;=12,AH20&gt;=6),"да","нет")</f>
        <v>да</v>
      </c>
      <c r="AK20" s="2"/>
      <c r="AL20" s="2" t="n">
        <v>25</v>
      </c>
      <c r="AM20" s="23" t="n">
        <f aca="false">SUM(S20,Y20,AA20,AB20,AH20,AL20,AK20)</f>
        <v>68.1</v>
      </c>
      <c r="AN20" s="29" t="str">
        <f aca="false">IF(AND(S20&gt;=12,Y20&gt;=12,AH20&gt;=6,AL20&gt;=24,AM20&gt;=60),"Зачет","Незачет")</f>
        <v>Зачет</v>
      </c>
    </row>
    <row r="21" customFormat="false" ht="15.75" hidden="false" customHeight="false" outlineLevel="0" collapsed="false">
      <c r="A21" s="25" t="n">
        <v>19</v>
      </c>
      <c r="B21" s="99" t="s">
        <v>498</v>
      </c>
      <c r="C21" s="27" t="s">
        <v>83</v>
      </c>
      <c r="D21" s="27" t="n">
        <v>468125</v>
      </c>
      <c r="E21" s="28" t="s">
        <v>45</v>
      </c>
      <c r="F21" s="28" t="s">
        <v>523</v>
      </c>
      <c r="G21" s="28" t="s">
        <v>523</v>
      </c>
      <c r="H21" s="28" t="s">
        <v>523</v>
      </c>
      <c r="I21" s="28" t="s">
        <v>523</v>
      </c>
      <c r="J21" s="28" t="s">
        <v>523</v>
      </c>
      <c r="K21" s="28" t="s">
        <v>523</v>
      </c>
      <c r="L21" s="28" t="s">
        <v>523</v>
      </c>
      <c r="M21" s="29"/>
      <c r="N21" s="29"/>
      <c r="O21" s="29"/>
      <c r="P21" s="30"/>
      <c r="Q21" s="31" t="n">
        <v>90028</v>
      </c>
      <c r="R21" s="112" t="n">
        <v>45598</v>
      </c>
      <c r="S21" s="115" t="n">
        <v>16.8</v>
      </c>
      <c r="T21" s="47"/>
      <c r="U21" s="2" t="n">
        <v>99001</v>
      </c>
      <c r="V21" s="36" t="n">
        <v>45612</v>
      </c>
      <c r="W21" s="36" t="n">
        <v>45640</v>
      </c>
      <c r="X21" s="36" t="n">
        <v>45640</v>
      </c>
      <c r="Y21" s="109" t="n">
        <v>20</v>
      </c>
      <c r="Z21" s="38"/>
      <c r="AA21" s="39"/>
      <c r="AB21" s="39"/>
      <c r="AC21" s="48"/>
      <c r="AD21" s="104" t="n">
        <v>45652</v>
      </c>
      <c r="AE21" s="111" t="n">
        <v>5</v>
      </c>
      <c r="AF21" s="104" t="n">
        <v>45652</v>
      </c>
      <c r="AG21" s="111" t="n">
        <v>5</v>
      </c>
      <c r="AH21" s="106" t="n">
        <f aca="false">SUM(AE21,AG21)</f>
        <v>10</v>
      </c>
      <c r="AI21" s="42"/>
      <c r="AJ21" s="43" t="str">
        <f aca="false">IF(AND(S21&gt;=12,Y21&gt;=12,AH21&gt;=6),"да","нет")</f>
        <v>да</v>
      </c>
      <c r="AK21" s="2"/>
      <c r="AL21" s="2" t="n">
        <v>40</v>
      </c>
      <c r="AM21" s="23" t="n">
        <f aca="false">SUM(S21,Y21,AA21,AB21,AH21,AL21,AK21)</f>
        <v>86.8</v>
      </c>
      <c r="AN21" s="29" t="str">
        <f aca="false">IF(AND(S21&gt;=12,Y21&gt;=12,AH21&gt;=6,AL21&gt;=24,AM21&gt;=60),"Зачет","Незачет")</f>
        <v>Зачет</v>
      </c>
    </row>
    <row r="22" customFormat="false" ht="15.75" hidden="false" customHeight="false" outlineLevel="0" collapsed="false">
      <c r="A22" s="25"/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/>
      <c r="AI22" s="42"/>
      <c r="AJ22" s="43"/>
      <c r="AK22" s="2"/>
      <c r="AL22" s="2"/>
      <c r="AM22" s="23"/>
      <c r="AN22" s="29"/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"W")</f>
        <v>6</v>
      </c>
      <c r="G25" s="37" t="n">
        <f aca="false">COUNTIF(G$3:G$23, "W")</f>
        <v>13</v>
      </c>
      <c r="H25" s="37" t="n">
        <f aca="false">COUNTIF(H$3:H$23, "W")</f>
        <v>17</v>
      </c>
      <c r="I25" s="37" t="n">
        <f aca="false">COUNTIF(I$3:I$23, "W")</f>
        <v>17</v>
      </c>
      <c r="J25" s="37" t="n">
        <f aca="false">COUNTIF(J$3:J$23, "W")</f>
        <v>16</v>
      </c>
      <c r="K25" s="37" t="n">
        <f aca="false">COUNTIF(K$3:K$23, "W")</f>
        <v>18</v>
      </c>
      <c r="L25" s="37" t="n">
        <f aca="false">COUNTIF(L$3:L$23, "W")</f>
        <v>15</v>
      </c>
      <c r="M25" s="37" t="n">
        <f aca="false">COUNTIF(M$3:M$23, "W")</f>
        <v>9</v>
      </c>
      <c r="N25" s="37" t="n">
        <f aca="false">COUNTIF(N$3:N$23, "W")</f>
        <v>7</v>
      </c>
      <c r="O25" s="37" t="n">
        <f aca="false">COUNTIF(O$3:O$23, "W")</f>
        <v>0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19</v>
      </c>
      <c r="F26" s="37" t="n">
        <f aca="false">COUNTIF(F$3:F$23, "W")+COUNTIF(F$3:F$23, "Y")</f>
        <v>13</v>
      </c>
      <c r="G26" s="37" t="n">
        <f aca="false">COUNTIF(G$3:G$23, "W")+COUNTIF(G$3:G$23, "Y")</f>
        <v>17</v>
      </c>
      <c r="H26" s="37" t="n">
        <f aca="false">COUNTIF(H$3:H$23, "W")+COUNTIF(H$3:H$23, "Y")</f>
        <v>17</v>
      </c>
      <c r="I26" s="37" t="n">
        <f aca="false">COUNTIF(I$3:I$23, "W")+COUNTIF(I$3:I$23, "Y")</f>
        <v>18</v>
      </c>
      <c r="J26" s="37" t="n">
        <f aca="false">COUNTIF(J$3:J$23, "W")+COUNTIF(J$3:J$23, "Y")</f>
        <v>16</v>
      </c>
      <c r="K26" s="37" t="n">
        <f aca="false">COUNTIF(K$3:K$23, "W")+COUNTIF(K$3:K$23, "Y")</f>
        <v>18</v>
      </c>
      <c r="L26" s="37" t="n">
        <f aca="false">COUNTIF(L$3:L$23, "W")+COUNTIF(L$3:L$23, "Y")</f>
        <v>15</v>
      </c>
      <c r="M26" s="37" t="n">
        <f aca="false">COUNTIF(M$3:M$23, "W")+COUNTIF(M$3:M$23, "Y")</f>
        <v>9</v>
      </c>
      <c r="N26" s="37" t="n">
        <f aca="false">COUNTIF(N$3:N$23, "W")+COUNTIF(N$3:N$23, "Y")</f>
        <v>7</v>
      </c>
      <c r="O26" s="37" t="n">
        <f aca="false">COUNTIF(O$3:O$23, "W")+COUNTIF(O$3:O$23, "Y")</f>
        <v>0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0.9473684211</v>
      </c>
      <c r="T28" s="62"/>
      <c r="U28" s="61"/>
      <c r="V28" s="61"/>
      <c r="W28" s="61"/>
      <c r="X28" s="61"/>
      <c r="Y28" s="61" t="n">
        <f aca="false">IFERROR(COUNTA(Y$3:Y23)/COUNTA($B$3:$B$23), 0)</f>
        <v>0.9473684211</v>
      </c>
      <c r="Z28" s="63"/>
      <c r="AA28" s="2"/>
      <c r="AB28" s="2"/>
      <c r="AC28" s="57"/>
      <c r="AE28" s="61" t="n">
        <f aca="false">IFERROR(COUNTIF(AE$3:AE23, "&gt;0")/COUNTA($B$3:$B$22), 0)</f>
        <v>1</v>
      </c>
      <c r="AG28" s="61" t="n">
        <f aca="false">IFERROR(COUNTIF(AG$3:AG23, "&gt;0")/COUNTA($B$3:$B$22), 0)</f>
        <v>0.947368421052632</v>
      </c>
      <c r="AH28" s="61" t="n">
        <f aca="false">IFERROR(COUNTIF(AH$3:AH23, "&gt;0")/COUNTA($B$3:$B$22), 0)</f>
        <v>1</v>
      </c>
      <c r="AI28" s="64"/>
      <c r="AJ28" s="65"/>
      <c r="AK28" s="2"/>
      <c r="AL28" s="61" t="n">
        <f aca="false">IFERROR(COUNTIF(AL$3:AL23, "&gt;24")/COUNTA($B$3:$B$22), 0)</f>
        <v>0.8421052632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 Y3:AB23 AH3:AH23 AK3:AL23 S5:S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 S4 R5:R23 S6:S21">
    <cfRule type="expression" priority="7" aboveAverage="0" equalAverage="0" bottom="0" percent="0" rank="0" text="" dxfId="5">
      <formula>R3&gt;45230</formula>
    </cfRule>
  </conditionalFormatting>
  <conditionalFormatting sqref="V3:X23 AC3:AG23 AH14:AI14">
    <cfRule type="expression" priority="8" aboveAverage="0" equalAverage="0" bottom="0" percent="0" rank="0" text="" dxfId="5">
      <formula>V3&gt;45291</formula>
    </cfRule>
  </conditionalFormatting>
  <conditionalFormatting sqref="E3:O21">
    <cfRule type="cellIs" priority="9" operator="equal" aboveAverage="0" equalAverage="0" bottom="0" percent="0" rank="0" text="" dxfId="6">
      <formula>"W"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532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5" t="n">
        <v>45197</v>
      </c>
      <c r="F2" s="15" t="n">
        <f aca="false">E2+14</f>
        <v>45211</v>
      </c>
      <c r="G2" s="15" t="n">
        <f aca="false">F2+14</f>
        <v>45225</v>
      </c>
      <c r="H2" s="15" t="n">
        <f aca="false">G2+14</f>
        <v>45239</v>
      </c>
      <c r="I2" s="15" t="n">
        <f aca="false">H2+14</f>
        <v>45253</v>
      </c>
      <c r="J2" s="15" t="n">
        <f aca="false">I2+14</f>
        <v>45267</v>
      </c>
      <c r="K2" s="15" t="n">
        <f aca="false">J2+14</f>
        <v>45281</v>
      </c>
      <c r="L2" s="15" t="n">
        <v>45560</v>
      </c>
      <c r="M2" s="16"/>
      <c r="N2" s="17"/>
      <c r="O2" s="17" t="n">
        <v>45700</v>
      </c>
      <c r="P2" s="18"/>
      <c r="Q2" s="19" t="s">
        <v>17</v>
      </c>
      <c r="R2" s="19" t="s">
        <v>18</v>
      </c>
      <c r="S2" s="19" t="s">
        <v>19</v>
      </c>
      <c r="T2" s="6"/>
      <c r="U2" s="19" t="s">
        <v>17</v>
      </c>
      <c r="V2" s="20" t="s">
        <v>20</v>
      </c>
      <c r="W2" s="19" t="s">
        <v>21</v>
      </c>
      <c r="X2" s="19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101</v>
      </c>
      <c r="C3" s="27" t="s">
        <v>102</v>
      </c>
      <c r="D3" s="27" t="n">
        <v>464985</v>
      </c>
      <c r="E3" s="28" t="s">
        <v>45</v>
      </c>
      <c r="F3" s="28" t="s">
        <v>518</v>
      </c>
      <c r="G3" s="28" t="s">
        <v>518</v>
      </c>
      <c r="H3" s="28" t="s">
        <v>518</v>
      </c>
      <c r="I3" s="28" t="s">
        <v>518</v>
      </c>
      <c r="J3" s="28" t="s">
        <v>518</v>
      </c>
      <c r="K3" s="28" t="s">
        <v>519</v>
      </c>
      <c r="L3" s="28"/>
      <c r="M3" s="29" t="s">
        <v>519</v>
      </c>
      <c r="N3" s="29" t="s">
        <v>519</v>
      </c>
      <c r="O3" s="29" t="s">
        <v>519</v>
      </c>
      <c r="P3" s="30"/>
      <c r="Q3" s="31" t="n">
        <v>24321</v>
      </c>
      <c r="R3" s="32" t="n">
        <v>45700</v>
      </c>
      <c r="S3" s="33" t="n">
        <v>14</v>
      </c>
      <c r="T3" s="31"/>
      <c r="U3" s="31" t="n">
        <v>24321</v>
      </c>
      <c r="V3" s="36" t="n">
        <v>45726</v>
      </c>
      <c r="W3" s="36" t="n">
        <v>45726</v>
      </c>
      <c r="X3" s="36" t="n">
        <v>45726</v>
      </c>
      <c r="Y3" s="37" t="n">
        <v>16</v>
      </c>
      <c r="Z3" s="38"/>
      <c r="AA3" s="39"/>
      <c r="AB3" s="39"/>
      <c r="AC3" s="40"/>
      <c r="AD3" s="77" t="n">
        <v>45686</v>
      </c>
      <c r="AE3" s="28" t="n">
        <v>3</v>
      </c>
      <c r="AF3" s="77" t="n">
        <v>45686</v>
      </c>
      <c r="AG3" s="28" t="n">
        <v>3</v>
      </c>
      <c r="AH3" s="37" t="n">
        <f aca="false">SUM(AE3,AG3)</f>
        <v>6</v>
      </c>
      <c r="AI3" s="42"/>
      <c r="AJ3" s="43" t="str">
        <f aca="false">IF(AND(S3&gt;=12,Y3&gt;=12,AH3&gt;=6),"да","нет")</f>
        <v>да</v>
      </c>
      <c r="AK3" s="2"/>
      <c r="AL3" s="2" t="n">
        <v>28</v>
      </c>
      <c r="AM3" s="23" t="n">
        <f aca="false">SUM(S3,Y3,AA3,AB3,AH3,AL3,AK3)</f>
        <v>64</v>
      </c>
      <c r="AN3" s="29" t="str">
        <f aca="false">IF(AND(S3&gt;=12,Y3&gt;=12,AH3&gt;=6,AL3&gt;=24,AM3&gt;=60),"Зачет","Незачет")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107</v>
      </c>
      <c r="C4" s="27" t="s">
        <v>102</v>
      </c>
      <c r="D4" s="27" t="n">
        <v>476150</v>
      </c>
      <c r="E4" s="28" t="s">
        <v>45</v>
      </c>
      <c r="F4" s="28" t="s">
        <v>519</v>
      </c>
      <c r="G4" s="28" t="s">
        <v>45</v>
      </c>
      <c r="H4" s="28" t="s">
        <v>519</v>
      </c>
      <c r="I4" s="28" t="s">
        <v>519</v>
      </c>
      <c r="J4" s="28" t="s">
        <v>518</v>
      </c>
      <c r="K4" s="28" t="s">
        <v>519</v>
      </c>
      <c r="L4" s="28" t="s">
        <v>522</v>
      </c>
      <c r="M4" s="29"/>
      <c r="N4" s="29"/>
      <c r="O4" s="29"/>
      <c r="P4" s="30"/>
      <c r="Q4" s="31" t="n">
        <v>24322</v>
      </c>
      <c r="R4" s="39" t="n">
        <v>23.11</v>
      </c>
      <c r="S4" s="33" t="n">
        <v>19</v>
      </c>
      <c r="T4" s="34"/>
      <c r="U4" s="35" t="n">
        <f aca="false">24322+2311</f>
        <v>26633</v>
      </c>
      <c r="V4" s="28" t="n">
        <v>21.12</v>
      </c>
      <c r="W4" s="28" t="n">
        <v>21.12</v>
      </c>
      <c r="X4" s="28" t="n">
        <v>25.12</v>
      </c>
      <c r="Y4" s="37" t="n">
        <v>16</v>
      </c>
      <c r="Z4" s="38"/>
      <c r="AA4" s="39"/>
      <c r="AB4" s="39"/>
      <c r="AC4" s="40"/>
      <c r="AD4" s="28" t="n">
        <v>27.12</v>
      </c>
      <c r="AE4" s="28" t="n">
        <v>5</v>
      </c>
      <c r="AF4" s="28" t="n">
        <v>27.12</v>
      </c>
      <c r="AG4" s="28" t="n">
        <v>4</v>
      </c>
      <c r="AH4" s="37" t="n">
        <f aca="false">SUM(AE4,AG4)</f>
        <v>9</v>
      </c>
      <c r="AI4" s="42"/>
      <c r="AJ4" s="43" t="str">
        <f aca="false">IF(AND(S4&gt;=12,Y4&gt;=12,AH4&gt;=6),"да","нет")</f>
        <v>да</v>
      </c>
      <c r="AK4" s="2"/>
      <c r="AL4" s="2" t="n">
        <v>40</v>
      </c>
      <c r="AM4" s="23" t="n">
        <f aca="false">SUM(S4,Y4,AA4,AB4,AH4,AL4,AK4)</f>
        <v>84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110</v>
      </c>
      <c r="C5" s="27" t="s">
        <v>102</v>
      </c>
      <c r="D5" s="27" t="n">
        <v>465142</v>
      </c>
      <c r="E5" s="28" t="s">
        <v>45</v>
      </c>
      <c r="F5" s="28" t="s">
        <v>518</v>
      </c>
      <c r="G5" s="28" t="s">
        <v>45</v>
      </c>
      <c r="H5" s="28" t="s">
        <v>45</v>
      </c>
      <c r="I5" s="28" t="s">
        <v>519</v>
      </c>
      <c r="J5" s="28" t="s">
        <v>519</v>
      </c>
      <c r="K5" s="28" t="s">
        <v>519</v>
      </c>
      <c r="L5" s="28"/>
      <c r="M5" s="29"/>
      <c r="N5" s="29"/>
      <c r="O5" s="29"/>
      <c r="P5" s="30"/>
      <c r="Q5" s="31" t="n">
        <v>24323</v>
      </c>
      <c r="R5" s="39" t="n">
        <v>7.12</v>
      </c>
      <c r="S5" s="33" t="n">
        <v>16</v>
      </c>
      <c r="T5" s="34"/>
      <c r="U5" s="35" t="n">
        <f aca="false">24323+712</f>
        <v>25035</v>
      </c>
      <c r="V5" s="28" t="n">
        <v>21.12</v>
      </c>
      <c r="W5" s="28" t="n">
        <v>21.12</v>
      </c>
      <c r="X5" s="28" t="n">
        <v>21.12</v>
      </c>
      <c r="Y5" s="37" t="n">
        <v>17</v>
      </c>
      <c r="Z5" s="38"/>
      <c r="AA5" s="39"/>
      <c r="AB5" s="39"/>
      <c r="AC5" s="44"/>
      <c r="AD5" s="28" t="n">
        <v>25.12</v>
      </c>
      <c r="AE5" s="28" t="n">
        <v>5</v>
      </c>
      <c r="AF5" s="28" t="n">
        <v>25.12</v>
      </c>
      <c r="AG5" s="28" t="n">
        <v>4</v>
      </c>
      <c r="AH5" s="37" t="n">
        <f aca="false">SUM(AE5,AG5)</f>
        <v>9</v>
      </c>
      <c r="AI5" s="42"/>
      <c r="AJ5" s="43" t="str">
        <f aca="false">IF(AND(S5&gt;=12,Y5&gt;=12,AH5&gt;=6),"да","нет")</f>
        <v>да</v>
      </c>
      <c r="AK5" s="2"/>
      <c r="AL5" s="2" t="n">
        <v>40</v>
      </c>
      <c r="AM5" s="23" t="n">
        <f aca="false">SUM(S5,Y5,AA5,AB5,AH5,AL5,AK5)</f>
        <v>82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131</v>
      </c>
      <c r="C6" s="27" t="s">
        <v>102</v>
      </c>
      <c r="D6" s="27" t="n">
        <v>465303</v>
      </c>
      <c r="E6" s="28" t="s">
        <v>45</v>
      </c>
      <c r="F6" s="28" t="s">
        <v>518</v>
      </c>
      <c r="G6" s="28" t="s">
        <v>518</v>
      </c>
      <c r="H6" s="28" t="s">
        <v>45</v>
      </c>
      <c r="I6" s="28" t="s">
        <v>519</v>
      </c>
      <c r="J6" s="28" t="s">
        <v>519</v>
      </c>
      <c r="K6" s="28" t="s">
        <v>522</v>
      </c>
      <c r="L6" s="28" t="s">
        <v>522</v>
      </c>
      <c r="M6" s="29" t="s">
        <v>519</v>
      </c>
      <c r="N6" s="29" t="s">
        <v>519</v>
      </c>
      <c r="O6" s="29"/>
      <c r="P6" s="30"/>
      <c r="Q6" s="31" t="n">
        <v>24324</v>
      </c>
      <c r="R6" s="28" t="n">
        <v>21.12</v>
      </c>
      <c r="S6" s="33" t="n">
        <v>16</v>
      </c>
      <c r="T6" s="34"/>
      <c r="U6" s="35" t="n">
        <f aca="false">24324+2112</f>
        <v>26436</v>
      </c>
      <c r="V6" s="36" t="n">
        <v>45681</v>
      </c>
      <c r="W6" s="36" t="n">
        <v>45681</v>
      </c>
      <c r="X6" s="36" t="n">
        <v>45681</v>
      </c>
      <c r="Y6" s="37" t="n">
        <v>15</v>
      </c>
      <c r="Z6" s="38"/>
      <c r="AA6" s="39"/>
      <c r="AB6" s="39"/>
      <c r="AC6" s="44"/>
      <c r="AD6" s="28" t="n">
        <v>27.12</v>
      </c>
      <c r="AE6" s="28" t="n">
        <v>3</v>
      </c>
      <c r="AF6" s="28" t="n">
        <v>27.12</v>
      </c>
      <c r="AG6" s="28" t="n">
        <v>3</v>
      </c>
      <c r="AH6" s="37" t="n">
        <f aca="false">SUM(AE6,AG6)</f>
        <v>6</v>
      </c>
      <c r="AI6" s="42"/>
      <c r="AJ6" s="43" t="str">
        <f aca="false">IF(AND(S6&gt;=12,Y6&gt;=12,AH6&gt;=6),"да","нет")</f>
        <v>да</v>
      </c>
      <c r="AK6" s="2"/>
      <c r="AL6" s="2" t="n">
        <v>28</v>
      </c>
      <c r="AM6" s="23" t="n">
        <f aca="false">SUM(S6,Y6,AA6,AB6,AH6,AL6,AK6)</f>
        <v>65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153</v>
      </c>
      <c r="C7" s="27" t="s">
        <v>102</v>
      </c>
      <c r="D7" s="27" t="n">
        <v>471842</v>
      </c>
      <c r="E7" s="28" t="s">
        <v>45</v>
      </c>
      <c r="F7" s="28" t="s">
        <v>518</v>
      </c>
      <c r="G7" s="28" t="s">
        <v>519</v>
      </c>
      <c r="H7" s="28" t="s">
        <v>518</v>
      </c>
      <c r="I7" s="28" t="s">
        <v>518</v>
      </c>
      <c r="J7" s="28" t="s">
        <v>518</v>
      </c>
      <c r="K7" s="28" t="s">
        <v>518</v>
      </c>
      <c r="L7" s="28" t="s">
        <v>522</v>
      </c>
      <c r="M7" s="29"/>
      <c r="N7" s="29" t="s">
        <v>519</v>
      </c>
      <c r="O7" s="29" t="s">
        <v>519</v>
      </c>
      <c r="P7" s="30"/>
      <c r="Q7" s="31" t="n">
        <v>24325</v>
      </c>
      <c r="R7" s="32" t="n">
        <v>45700</v>
      </c>
      <c r="S7" s="33" t="n">
        <v>14</v>
      </c>
      <c r="T7" s="34"/>
      <c r="U7" s="31" t="n">
        <v>24325</v>
      </c>
      <c r="V7" s="36" t="n">
        <v>45726</v>
      </c>
      <c r="W7" s="36" t="n">
        <v>45726</v>
      </c>
      <c r="X7" s="36" t="n">
        <v>45726</v>
      </c>
      <c r="Y7" s="37" t="n">
        <v>12</v>
      </c>
      <c r="Z7" s="38"/>
      <c r="AA7" s="39"/>
      <c r="AB7" s="39"/>
      <c r="AC7" s="40"/>
      <c r="AD7" s="41" t="n">
        <v>45726</v>
      </c>
      <c r="AE7" s="28" t="n">
        <v>3</v>
      </c>
      <c r="AF7" s="41" t="n">
        <v>45726</v>
      </c>
      <c r="AG7" s="28" t="n">
        <v>3</v>
      </c>
      <c r="AH7" s="37" t="n">
        <f aca="false">SUM(AE7,AG7)</f>
        <v>6</v>
      </c>
      <c r="AI7" s="42"/>
      <c r="AJ7" s="43" t="str">
        <f aca="false">IF(AND(S7&gt;=12,Y7&gt;=12,AH7&gt;=6),"да","нет")</f>
        <v>да</v>
      </c>
      <c r="AK7" s="2"/>
      <c r="AL7" s="2" t="n">
        <v>28</v>
      </c>
      <c r="AM7" s="23" t="n">
        <f aca="false">SUM(S7,Y7,AA7,AB7,AH7,AL7,AK7)</f>
        <v>60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160</v>
      </c>
      <c r="C8" s="27" t="s">
        <v>102</v>
      </c>
      <c r="D8" s="27" t="n">
        <v>471848</v>
      </c>
      <c r="E8" s="28" t="s">
        <v>45</v>
      </c>
      <c r="F8" s="28" t="s">
        <v>45</v>
      </c>
      <c r="G8" s="28" t="s">
        <v>518</v>
      </c>
      <c r="H8" s="28" t="s">
        <v>518</v>
      </c>
      <c r="I8" s="28" t="s">
        <v>518</v>
      </c>
      <c r="J8" s="28" t="s">
        <v>519</v>
      </c>
      <c r="K8" s="28" t="s">
        <v>519</v>
      </c>
      <c r="L8" s="28"/>
      <c r="M8" s="29" t="s">
        <v>519</v>
      </c>
      <c r="N8" s="29"/>
      <c r="O8" s="29"/>
      <c r="P8" s="30"/>
      <c r="Q8" s="31" t="n">
        <v>24326</v>
      </c>
      <c r="R8" s="39" t="n">
        <v>21.12</v>
      </c>
      <c r="S8" s="33" t="n">
        <v>18</v>
      </c>
      <c r="T8" s="34"/>
      <c r="U8" s="35" t="n">
        <f aca="false">24326+2112</f>
        <v>26438</v>
      </c>
      <c r="V8" s="28" t="n">
        <v>18.01</v>
      </c>
      <c r="W8" s="28" t="n">
        <v>18.01</v>
      </c>
      <c r="X8" s="28" t="n">
        <v>18.01</v>
      </c>
      <c r="Y8" s="37" t="n">
        <v>16</v>
      </c>
      <c r="Z8" s="38"/>
      <c r="AA8" s="39"/>
      <c r="AB8" s="39"/>
      <c r="AC8" s="40"/>
      <c r="AD8" s="77" t="n">
        <v>45700</v>
      </c>
      <c r="AE8" s="28" t="n">
        <v>3</v>
      </c>
      <c r="AF8" s="77" t="n">
        <v>45700</v>
      </c>
      <c r="AG8" s="28" t="n">
        <v>3</v>
      </c>
      <c r="AH8" s="37" t="n">
        <f aca="false">SUM(AE8,AG8)</f>
        <v>6</v>
      </c>
      <c r="AI8" s="42"/>
      <c r="AJ8" s="43" t="str">
        <f aca="false">IF(AND(S8&gt;=12,Y8&gt;=12,AH8&gt;=6),"да","нет")</f>
        <v>да</v>
      </c>
      <c r="AK8" s="2"/>
      <c r="AL8" s="2" t="n">
        <v>30</v>
      </c>
      <c r="AM8" s="23" t="n">
        <f aca="false">SUM(S8,Y8,AA8,AB8,AH8,AL8,AK8)</f>
        <v>70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172</v>
      </c>
      <c r="C9" s="27" t="s">
        <v>102</v>
      </c>
      <c r="D9" s="27" t="n">
        <v>465722</v>
      </c>
      <c r="E9" s="28" t="s">
        <v>45</v>
      </c>
      <c r="F9" s="28" t="s">
        <v>533</v>
      </c>
      <c r="G9" s="28" t="s">
        <v>519</v>
      </c>
      <c r="H9" s="28" t="s">
        <v>45</v>
      </c>
      <c r="I9" s="28" t="s">
        <v>519</v>
      </c>
      <c r="J9" s="28" t="s">
        <v>522</v>
      </c>
      <c r="K9" s="28" t="s">
        <v>518</v>
      </c>
      <c r="L9" s="28"/>
      <c r="M9" s="29"/>
      <c r="N9" s="29"/>
      <c r="O9" s="29"/>
      <c r="P9" s="30"/>
      <c r="Q9" s="31" t="n">
        <v>24327</v>
      </c>
      <c r="R9" s="39" t="n">
        <v>23.11</v>
      </c>
      <c r="S9" s="33" t="n">
        <v>20</v>
      </c>
      <c r="T9" s="34"/>
      <c r="U9" s="35" t="n">
        <f aca="false">24327+2311</f>
        <v>26638</v>
      </c>
      <c r="V9" s="28" t="n">
        <v>7.12</v>
      </c>
      <c r="W9" s="28" t="n">
        <v>7.12</v>
      </c>
      <c r="X9" s="28" t="n">
        <v>7.12</v>
      </c>
      <c r="Y9" s="37" t="n">
        <v>18</v>
      </c>
      <c r="Z9" s="38"/>
      <c r="AA9" s="39"/>
      <c r="AB9" s="39"/>
      <c r="AC9" s="44"/>
      <c r="AD9" s="28" t="n">
        <v>25.12</v>
      </c>
      <c r="AE9" s="28" t="n">
        <v>5</v>
      </c>
      <c r="AF9" s="28" t="n">
        <v>25.12</v>
      </c>
      <c r="AG9" s="28" t="n">
        <v>5</v>
      </c>
      <c r="AH9" s="37" t="n">
        <f aca="false">SUM(AE9,AG9)</f>
        <v>10</v>
      </c>
      <c r="AI9" s="42"/>
      <c r="AJ9" s="43" t="str">
        <f aca="false">IF(AND(S9&gt;=12,Y9&gt;=12,AH9&gt;=6),"да","нет")</f>
        <v>да</v>
      </c>
      <c r="AK9" s="2"/>
      <c r="AL9" s="2" t="n">
        <v>40</v>
      </c>
      <c r="AM9" s="23" t="n">
        <f aca="false">SUM(S9,Y9,AA9,AB9,AH9,AL9,AK9)</f>
        <v>88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191</v>
      </c>
      <c r="C10" s="27" t="s">
        <v>102</v>
      </c>
      <c r="D10" s="27" t="n">
        <v>412940</v>
      </c>
      <c r="E10" s="28" t="s">
        <v>45</v>
      </c>
      <c r="F10" s="28" t="s">
        <v>533</v>
      </c>
      <c r="G10" s="28" t="s">
        <v>519</v>
      </c>
      <c r="H10" s="28" t="s">
        <v>45</v>
      </c>
      <c r="I10" s="28" t="s">
        <v>519</v>
      </c>
      <c r="J10" s="28" t="s">
        <v>519</v>
      </c>
      <c r="K10" s="28" t="s">
        <v>519</v>
      </c>
      <c r="L10" s="28"/>
      <c r="M10" s="29"/>
      <c r="N10" s="29"/>
      <c r="O10" s="29"/>
      <c r="P10" s="30"/>
      <c r="Q10" s="31" t="n">
        <v>24328</v>
      </c>
      <c r="R10" s="39" t="n">
        <v>23.11</v>
      </c>
      <c r="S10" s="33" t="n">
        <v>16</v>
      </c>
      <c r="T10" s="34"/>
      <c r="U10" s="35" t="n">
        <f aca="false">24328+2311</f>
        <v>26639</v>
      </c>
      <c r="V10" s="28" t="n">
        <v>7.12</v>
      </c>
      <c r="W10" s="28" t="n">
        <v>21.12</v>
      </c>
      <c r="X10" s="28" t="n">
        <v>21.12</v>
      </c>
      <c r="Y10" s="37" t="n">
        <v>16</v>
      </c>
      <c r="Z10" s="38"/>
      <c r="AA10" s="39"/>
      <c r="AB10" s="39"/>
      <c r="AC10" s="40"/>
      <c r="AD10" s="28" t="n">
        <v>27.12</v>
      </c>
      <c r="AE10" s="28" t="n">
        <v>3</v>
      </c>
      <c r="AF10" s="28" t="n">
        <v>27.12</v>
      </c>
      <c r="AG10" s="28" t="n">
        <v>4</v>
      </c>
      <c r="AH10" s="37" t="n">
        <f aca="false">SUM(AE10,AG10)</f>
        <v>7</v>
      </c>
      <c r="AI10" s="42"/>
      <c r="AJ10" s="43" t="str">
        <f aca="false">IF(AND(S10&gt;=12,Y10&gt;=12,AH10&gt;=6),"да","нет")</f>
        <v>да</v>
      </c>
      <c r="AK10" s="2"/>
      <c r="AL10" s="2" t="n">
        <v>40</v>
      </c>
      <c r="AM10" s="23" t="n">
        <f aca="false">SUM(S10,Y10,AA10,AB10,AH10,AL10,AK10)</f>
        <v>79</v>
      </c>
      <c r="AN10" s="29" t="str">
        <f aca="false">IF(AND(S10&gt;=12,Y10&gt;=12,AH10&gt;=6,AL10&gt;=24,AM10&gt;=60),"Зачет","Незачет")</f>
        <v>Зачет</v>
      </c>
    </row>
    <row r="11" customFormat="false" ht="15.75" hidden="false" customHeight="false" outlineLevel="0" collapsed="false">
      <c r="A11" s="25" t="n">
        <v>9</v>
      </c>
      <c r="B11" s="26" t="s">
        <v>209</v>
      </c>
      <c r="C11" s="27" t="s">
        <v>102</v>
      </c>
      <c r="D11" s="27" t="n">
        <v>466042</v>
      </c>
      <c r="E11" s="28" t="s">
        <v>45</v>
      </c>
      <c r="F11" s="28" t="s">
        <v>45</v>
      </c>
      <c r="G11" s="28" t="s">
        <v>519</v>
      </c>
      <c r="H11" s="28" t="s">
        <v>45</v>
      </c>
      <c r="I11" s="28" t="s">
        <v>519</v>
      </c>
      <c r="J11" s="28" t="s">
        <v>522</v>
      </c>
      <c r="K11" s="28" t="s">
        <v>519</v>
      </c>
      <c r="L11" s="28"/>
      <c r="M11" s="29"/>
      <c r="N11" s="29"/>
      <c r="O11" s="29"/>
      <c r="P11" s="30"/>
      <c r="Q11" s="31" t="n">
        <v>24329</v>
      </c>
      <c r="R11" s="39" t="n">
        <v>23.11</v>
      </c>
      <c r="S11" s="33" t="n">
        <v>17</v>
      </c>
      <c r="T11" s="34"/>
      <c r="U11" s="35" t="n">
        <f aca="false">24329+2311</f>
        <v>26640</v>
      </c>
      <c r="V11" s="28" t="n">
        <v>7.12</v>
      </c>
      <c r="W11" s="28" t="n">
        <v>7.12</v>
      </c>
      <c r="X11" s="28" t="n">
        <v>21.12</v>
      </c>
      <c r="Y11" s="37" t="n">
        <v>18</v>
      </c>
      <c r="Z11" s="38"/>
      <c r="AA11" s="39"/>
      <c r="AB11" s="39"/>
      <c r="AC11" s="40"/>
      <c r="AD11" s="28" t="n">
        <v>25.12</v>
      </c>
      <c r="AE11" s="28" t="n">
        <v>5</v>
      </c>
      <c r="AF11" s="28" t="n">
        <v>25.12</v>
      </c>
      <c r="AG11" s="28" t="n">
        <v>5</v>
      </c>
      <c r="AH11" s="37" t="n">
        <f aca="false">SUM(AE11,AG11)</f>
        <v>10</v>
      </c>
      <c r="AI11" s="42"/>
      <c r="AJ11" s="43" t="str">
        <f aca="false">IF(AND(S11&gt;=12,Y11&gt;=12,AH11&gt;=6),"да","нет")</f>
        <v>да</v>
      </c>
      <c r="AK11" s="2"/>
      <c r="AL11" s="2" t="n">
        <v>40</v>
      </c>
      <c r="AM11" s="23" t="n">
        <f aca="false">SUM(S11,Y11,AA11,AB11,AH11,AL11,AK11)</f>
        <v>85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220</v>
      </c>
      <c r="C12" s="27" t="s">
        <v>102</v>
      </c>
      <c r="D12" s="27" t="n">
        <v>466113</v>
      </c>
      <c r="E12" s="28" t="s">
        <v>45</v>
      </c>
      <c r="F12" s="28" t="s">
        <v>45</v>
      </c>
      <c r="G12" s="28" t="s">
        <v>519</v>
      </c>
      <c r="H12" s="28" t="s">
        <v>518</v>
      </c>
      <c r="I12" s="28" t="s">
        <v>519</v>
      </c>
      <c r="J12" s="28" t="s">
        <v>519</v>
      </c>
      <c r="K12" s="28" t="s">
        <v>519</v>
      </c>
      <c r="L12" s="28"/>
      <c r="M12" s="29"/>
      <c r="N12" s="29"/>
      <c r="O12" s="29"/>
      <c r="P12" s="30"/>
      <c r="Q12" s="31" t="n">
        <v>24330</v>
      </c>
      <c r="R12" s="39" t="n">
        <v>23.11</v>
      </c>
      <c r="S12" s="33" t="n">
        <v>20</v>
      </c>
      <c r="T12" s="34"/>
      <c r="U12" s="35" t="n">
        <f aca="false">24330+2311</f>
        <v>26641</v>
      </c>
      <c r="V12" s="28" t="n">
        <v>7.12</v>
      </c>
      <c r="W12" s="28" t="n">
        <v>21.12</v>
      </c>
      <c r="X12" s="28" t="n">
        <v>21.12</v>
      </c>
      <c r="Y12" s="37" t="n">
        <v>17</v>
      </c>
      <c r="Z12" s="38"/>
      <c r="AA12" s="39"/>
      <c r="AB12" s="39"/>
      <c r="AC12" s="40"/>
      <c r="AD12" s="28" t="n">
        <v>23.12</v>
      </c>
      <c r="AE12" s="28" t="n">
        <v>5</v>
      </c>
      <c r="AF12" s="28" t="n">
        <v>23.12</v>
      </c>
      <c r="AG12" s="28" t="n">
        <v>5</v>
      </c>
      <c r="AH12" s="37" t="n">
        <f aca="false">SUM(AE12,AG12)</f>
        <v>10</v>
      </c>
      <c r="AI12" s="42"/>
      <c r="AJ12" s="43" t="str">
        <f aca="false">IF(AND(S12&gt;=12,Y12&gt;=12,AH12&gt;=6),"да","нет")</f>
        <v>да</v>
      </c>
      <c r="AK12" s="2"/>
      <c r="AL12" s="2" t="n">
        <v>40</v>
      </c>
      <c r="AM12" s="23" t="n">
        <f aca="false">SUM(S12,Y12,AA12,AB12,AH12,AL12,AK12)</f>
        <v>87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265</v>
      </c>
      <c r="C13" s="27" t="s">
        <v>102</v>
      </c>
      <c r="D13" s="27" t="n">
        <v>466441</v>
      </c>
      <c r="E13" s="28" t="s">
        <v>45</v>
      </c>
      <c r="F13" s="28" t="s">
        <v>518</v>
      </c>
      <c r="G13" s="28" t="s">
        <v>519</v>
      </c>
      <c r="H13" s="28" t="s">
        <v>518</v>
      </c>
      <c r="I13" s="28" t="s">
        <v>519</v>
      </c>
      <c r="J13" s="28" t="s">
        <v>519</v>
      </c>
      <c r="K13" s="28" t="s">
        <v>519</v>
      </c>
      <c r="L13" s="28"/>
      <c r="M13" s="28"/>
      <c r="N13" s="29"/>
      <c r="O13" s="29"/>
      <c r="P13" s="30"/>
      <c r="Q13" s="31" t="n">
        <v>24331</v>
      </c>
      <c r="R13" s="39" t="n">
        <v>23.11</v>
      </c>
      <c r="S13" s="33" t="n">
        <v>17</v>
      </c>
      <c r="T13" s="34"/>
      <c r="U13" s="35" t="n">
        <f aca="false">24331+2311</f>
        <v>26642</v>
      </c>
      <c r="V13" s="28" t="n">
        <v>7.12</v>
      </c>
      <c r="W13" s="28" t="n">
        <v>21.12</v>
      </c>
      <c r="X13" s="28" t="n">
        <v>21.12</v>
      </c>
      <c r="Y13" s="37" t="n">
        <v>16</v>
      </c>
      <c r="Z13" s="38"/>
      <c r="AA13" s="39"/>
      <c r="AB13" s="39"/>
      <c r="AC13" s="40"/>
      <c r="AD13" s="28" t="n">
        <v>27.12</v>
      </c>
      <c r="AE13" s="28" t="n">
        <v>4.5</v>
      </c>
      <c r="AF13" s="28" t="n">
        <v>27.12</v>
      </c>
      <c r="AG13" s="28" t="n">
        <v>5</v>
      </c>
      <c r="AH13" s="37" t="n">
        <f aca="false">SUM(AE13,AG13)</f>
        <v>9.5</v>
      </c>
      <c r="AI13" s="42"/>
      <c r="AJ13" s="43" t="str">
        <f aca="false">IF(AND(S13&gt;=12,Y13&gt;=12,AH13&gt;=6),"да","нет")</f>
        <v>да</v>
      </c>
      <c r="AK13" s="2"/>
      <c r="AL13" s="2" t="n">
        <v>40</v>
      </c>
      <c r="AM13" s="23" t="n">
        <f aca="false">SUM(S13,Y13,AA13,AB13,AH13,AL13,AK13)</f>
        <v>82.5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317</v>
      </c>
      <c r="C14" s="27" t="s">
        <v>102</v>
      </c>
      <c r="D14" s="27" t="n">
        <v>466815</v>
      </c>
      <c r="E14" s="28" t="s">
        <v>45</v>
      </c>
      <c r="F14" s="28" t="s">
        <v>518</v>
      </c>
      <c r="G14" s="28" t="s">
        <v>45</v>
      </c>
      <c r="H14" s="28" t="s">
        <v>518</v>
      </c>
      <c r="I14" s="28" t="s">
        <v>519</v>
      </c>
      <c r="J14" s="28" t="s">
        <v>519</v>
      </c>
      <c r="K14" s="28" t="s">
        <v>519</v>
      </c>
      <c r="L14" s="37"/>
      <c r="M14" s="29"/>
      <c r="N14" s="29"/>
      <c r="O14" s="29"/>
      <c r="P14" s="30"/>
      <c r="Q14" s="31" t="n">
        <v>24332</v>
      </c>
      <c r="R14" s="39" t="n">
        <v>7.12</v>
      </c>
      <c r="S14" s="33" t="n">
        <v>18</v>
      </c>
      <c r="T14" s="34"/>
      <c r="U14" s="35" t="n">
        <f aca="false">24332+712</f>
        <v>25044</v>
      </c>
      <c r="V14" s="28" t="n">
        <v>21.12</v>
      </c>
      <c r="W14" s="28" t="n">
        <v>21.12</v>
      </c>
      <c r="X14" s="28" t="n">
        <v>21.12</v>
      </c>
      <c r="Y14" s="37" t="n">
        <v>16</v>
      </c>
      <c r="Z14" s="38"/>
      <c r="AA14" s="39"/>
      <c r="AB14" s="39"/>
      <c r="AC14" s="40"/>
      <c r="AD14" s="28" t="n">
        <v>27.12</v>
      </c>
      <c r="AE14" s="28" t="n">
        <v>3</v>
      </c>
      <c r="AF14" s="28" t="n">
        <v>27.12</v>
      </c>
      <c r="AG14" s="28" t="n">
        <v>4</v>
      </c>
      <c r="AH14" s="37" t="n">
        <f aca="false">SUM(AE14,AG14)</f>
        <v>7</v>
      </c>
      <c r="AI14" s="42"/>
      <c r="AJ14" s="43" t="str">
        <f aca="false">IF(AND(S14&gt;=12,Y14&gt;=12,AH14&gt;=6),"да","нет")</f>
        <v>да</v>
      </c>
      <c r="AK14" s="2"/>
      <c r="AL14" s="2" t="n">
        <v>40</v>
      </c>
      <c r="AM14" s="23" t="n">
        <f aca="false">SUM(S14,Y14,AA14,AB14,AH14,AL14,AK14)</f>
        <v>81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358</v>
      </c>
      <c r="C15" s="27" t="s">
        <v>102</v>
      </c>
      <c r="D15" s="27" t="n">
        <v>467139</v>
      </c>
      <c r="E15" s="28" t="s">
        <v>45</v>
      </c>
      <c r="F15" s="28" t="s">
        <v>525</v>
      </c>
      <c r="G15" s="28" t="s">
        <v>519</v>
      </c>
      <c r="H15" s="28" t="s">
        <v>45</v>
      </c>
      <c r="I15" s="28" t="s">
        <v>519</v>
      </c>
      <c r="J15" s="28" t="s">
        <v>519</v>
      </c>
      <c r="K15" s="28" t="s">
        <v>519</v>
      </c>
      <c r="L15" s="28"/>
      <c r="M15" s="29"/>
      <c r="N15" s="29"/>
      <c r="O15" s="29"/>
      <c r="P15" s="30"/>
      <c r="Q15" s="31" t="n">
        <v>24333</v>
      </c>
      <c r="R15" s="39" t="n">
        <v>23.11</v>
      </c>
      <c r="S15" s="33" t="n">
        <v>17</v>
      </c>
      <c r="T15" s="34"/>
      <c r="U15" s="35" t="n">
        <f aca="false">24333+2311</f>
        <v>26644</v>
      </c>
      <c r="V15" s="28" t="n">
        <v>7.12</v>
      </c>
      <c r="W15" s="28" t="n">
        <v>21.12</v>
      </c>
      <c r="X15" s="28" t="n">
        <v>21.12</v>
      </c>
      <c r="Y15" s="37" t="n">
        <v>17</v>
      </c>
      <c r="Z15" s="38"/>
      <c r="AA15" s="39"/>
      <c r="AB15" s="39"/>
      <c r="AC15" s="40"/>
      <c r="AD15" s="28" t="n">
        <v>23.12</v>
      </c>
      <c r="AE15" s="28" t="n">
        <v>4</v>
      </c>
      <c r="AF15" s="28" t="n">
        <v>23.12</v>
      </c>
      <c r="AG15" s="28" t="n">
        <v>5</v>
      </c>
      <c r="AH15" s="37" t="n">
        <f aca="false">SUM(AE15,AG15)</f>
        <v>9</v>
      </c>
      <c r="AI15" s="42"/>
      <c r="AJ15" s="43" t="str">
        <f aca="false">IF(AND(S15&gt;=12,Y15&gt;=12,AH15&gt;=6),"да","нет")</f>
        <v>да</v>
      </c>
      <c r="AK15" s="2"/>
      <c r="AL15" s="2" t="n">
        <v>40</v>
      </c>
      <c r="AM15" s="23" t="n">
        <f aca="false">SUM(S15,Y15,AA15,AB15,AH15,AL15,AK15)</f>
        <v>83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385</v>
      </c>
      <c r="C16" s="27" t="s">
        <v>102</v>
      </c>
      <c r="D16" s="27" t="n">
        <v>424309</v>
      </c>
      <c r="E16" s="28" t="s">
        <v>45</v>
      </c>
      <c r="F16" s="28" t="s">
        <v>518</v>
      </c>
      <c r="G16" s="28" t="s">
        <v>519</v>
      </c>
      <c r="H16" s="28" t="s">
        <v>522</v>
      </c>
      <c r="I16" s="28" t="s">
        <v>519</v>
      </c>
      <c r="J16" s="28" t="s">
        <v>519</v>
      </c>
      <c r="K16" s="28" t="s">
        <v>519</v>
      </c>
      <c r="L16" s="28"/>
      <c r="M16" s="29"/>
      <c r="N16" s="29"/>
      <c r="O16" s="29"/>
      <c r="P16" s="30"/>
      <c r="Q16" s="31" t="n">
        <v>24334</v>
      </c>
      <c r="R16" s="39" t="n">
        <v>23.11</v>
      </c>
      <c r="S16" s="33" t="n">
        <v>18</v>
      </c>
      <c r="T16" s="34"/>
      <c r="U16" s="35" t="n">
        <f aca="false">24334+2311</f>
        <v>26645</v>
      </c>
      <c r="V16" s="28" t="n">
        <v>7.12</v>
      </c>
      <c r="W16" s="28" t="n">
        <v>7.12</v>
      </c>
      <c r="X16" s="28" t="n">
        <v>21.12</v>
      </c>
      <c r="Y16" s="37" t="n">
        <v>18</v>
      </c>
      <c r="Z16" s="38"/>
      <c r="AA16" s="39"/>
      <c r="AB16" s="39"/>
      <c r="AC16" s="40"/>
      <c r="AD16" s="28" t="n">
        <v>25.12</v>
      </c>
      <c r="AE16" s="28" t="n">
        <v>4</v>
      </c>
      <c r="AF16" s="28" t="n">
        <v>25.12</v>
      </c>
      <c r="AG16" s="28" t="n">
        <v>4</v>
      </c>
      <c r="AH16" s="37" t="n">
        <f aca="false">SUM(AE16,AG16)</f>
        <v>8</v>
      </c>
      <c r="AI16" s="42"/>
      <c r="AJ16" s="43" t="str">
        <f aca="false">IF(AND(S16&gt;=12,Y16&gt;=12,AH16&gt;=6),"да","нет")</f>
        <v>да</v>
      </c>
      <c r="AK16" s="2"/>
      <c r="AL16" s="2" t="n">
        <v>40</v>
      </c>
      <c r="AM16" s="23" t="n">
        <f aca="false">SUM(S16,Y16,AA16,AB16,AH16,AL16,AK16)</f>
        <v>84</v>
      </c>
      <c r="AN16" s="29" t="str">
        <f aca="false">IF(AND(S16&gt;=12,Y16&gt;=12,AH16&gt;=6,AL16&gt;=24,AM16&gt;=60),"Зачет","Незачет")</f>
        <v>Зачет</v>
      </c>
    </row>
    <row r="17" customFormat="false" ht="15.75" hidden="false" customHeight="false" outlineLevel="0" collapsed="false">
      <c r="A17" s="25" t="n">
        <v>15</v>
      </c>
      <c r="B17" s="26" t="s">
        <v>394</v>
      </c>
      <c r="C17" s="27" t="s">
        <v>102</v>
      </c>
      <c r="D17" s="27" t="n">
        <v>467351</v>
      </c>
      <c r="E17" s="28" t="s">
        <v>45</v>
      </c>
      <c r="F17" s="28" t="s">
        <v>519</v>
      </c>
      <c r="G17" s="28" t="s">
        <v>45</v>
      </c>
      <c r="H17" s="28" t="s">
        <v>519</v>
      </c>
      <c r="I17" s="28" t="s">
        <v>519</v>
      </c>
      <c r="J17" s="28" t="s">
        <v>519</v>
      </c>
      <c r="K17" s="28" t="s">
        <v>519</v>
      </c>
      <c r="L17" s="28"/>
      <c r="M17" s="29"/>
      <c r="N17" s="29"/>
      <c r="O17" s="29"/>
      <c r="P17" s="30"/>
      <c r="Q17" s="31" t="n">
        <v>24335</v>
      </c>
      <c r="R17" s="39" t="n">
        <v>23.11</v>
      </c>
      <c r="S17" s="33" t="n">
        <v>18</v>
      </c>
      <c r="T17" s="34"/>
      <c r="U17" s="35" t="n">
        <f aca="false">24335+2311</f>
        <v>26646</v>
      </c>
      <c r="V17" s="28" t="n">
        <v>7.12</v>
      </c>
      <c r="W17" s="28" t="n">
        <v>21.12</v>
      </c>
      <c r="X17" s="28" t="n">
        <v>21.12</v>
      </c>
      <c r="Y17" s="37" t="n">
        <v>17</v>
      </c>
      <c r="Z17" s="38"/>
      <c r="AA17" s="39"/>
      <c r="AB17" s="39"/>
      <c r="AC17" s="44"/>
      <c r="AD17" s="28" t="n">
        <v>27.12</v>
      </c>
      <c r="AE17" s="28" t="n">
        <v>5</v>
      </c>
      <c r="AF17" s="28" t="n">
        <v>27.12</v>
      </c>
      <c r="AG17" s="28" t="n">
        <v>5</v>
      </c>
      <c r="AH17" s="37" t="n">
        <f aca="false">SUM(AE17,AG17)</f>
        <v>10</v>
      </c>
      <c r="AI17" s="42"/>
      <c r="AJ17" s="43" t="str">
        <f aca="false">IF(AND(S17&gt;=12,Y17&gt;=12,AH17&gt;=6),"да","нет")</f>
        <v>да</v>
      </c>
      <c r="AK17" s="2"/>
      <c r="AL17" s="2" t="n">
        <v>40</v>
      </c>
      <c r="AM17" s="23" t="n">
        <f aca="false">SUM(S17,Y17,AA17,AB17,AH17,AL17,AK17)</f>
        <v>85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451</v>
      </c>
      <c r="C18" s="27" t="s">
        <v>102</v>
      </c>
      <c r="D18" s="27" t="n">
        <v>467704</v>
      </c>
      <c r="E18" s="28" t="s">
        <v>45</v>
      </c>
      <c r="F18" s="28" t="s">
        <v>518</v>
      </c>
      <c r="G18" s="28" t="s">
        <v>518</v>
      </c>
      <c r="H18" s="28" t="s">
        <v>518</v>
      </c>
      <c r="I18" s="28" t="s">
        <v>518</v>
      </c>
      <c r="J18" s="28" t="s">
        <v>518</v>
      </c>
      <c r="K18" s="28" t="s">
        <v>518</v>
      </c>
      <c r="L18" s="28"/>
      <c r="M18" s="29"/>
      <c r="N18" s="29"/>
      <c r="O18" s="29"/>
      <c r="P18" s="30"/>
      <c r="Q18" s="31" t="n">
        <v>24336</v>
      </c>
      <c r="R18" s="32"/>
      <c r="S18" s="33"/>
      <c r="T18" s="34"/>
      <c r="U18" s="35"/>
      <c r="V18" s="36"/>
      <c r="W18" s="36"/>
      <c r="X18" s="36"/>
      <c r="Y18" s="37"/>
      <c r="Z18" s="38"/>
      <c r="AA18" s="39"/>
      <c r="AB18" s="39"/>
      <c r="AC18" s="40"/>
      <c r="AD18" s="41"/>
      <c r="AE18" s="41"/>
      <c r="AF18" s="41"/>
      <c r="AG18" s="41"/>
      <c r="AH18" s="37" t="n">
        <f aca="false">SUM(AE18,AG18)</f>
        <v>0</v>
      </c>
      <c r="AI18" s="42"/>
      <c r="AJ18" s="43" t="str">
        <f aca="false">IF(AND(S18&gt;=12,Y18&gt;=12,AH18&gt;=6),"да","нет")</f>
        <v>нет</v>
      </c>
      <c r="AK18" s="2"/>
      <c r="AL18" s="2"/>
      <c r="AM18" s="23" t="n">
        <f aca="false">SUM(S18,Y18,AA18,AB18,AH18,AL18,AK18)</f>
        <v>0</v>
      </c>
      <c r="AN18" s="29" t="str">
        <f aca="false">IF(AND(S18&gt;=12,Y18&gt;=12,AH18&gt;=6,AL18&gt;=24,AM18&gt;=60),"Зачет","Незачет")</f>
        <v>Незачет</v>
      </c>
    </row>
    <row r="19" customFormat="false" ht="15.75" hidden="false" customHeight="false" outlineLevel="0" collapsed="false">
      <c r="A19" s="25" t="n">
        <v>17</v>
      </c>
      <c r="B19" s="26" t="s">
        <v>469</v>
      </c>
      <c r="C19" s="27" t="s">
        <v>102</v>
      </c>
      <c r="D19" s="27" t="n">
        <v>467889</v>
      </c>
      <c r="E19" s="28" t="s">
        <v>45</v>
      </c>
      <c r="F19" s="28" t="s">
        <v>518</v>
      </c>
      <c r="G19" s="28" t="s">
        <v>518</v>
      </c>
      <c r="H19" s="28" t="s">
        <v>519</v>
      </c>
      <c r="I19" s="28" t="s">
        <v>519</v>
      </c>
      <c r="J19" s="28" t="s">
        <v>519</v>
      </c>
      <c r="K19" s="28" t="s">
        <v>519</v>
      </c>
      <c r="L19" s="28"/>
      <c r="M19" s="29"/>
      <c r="N19" s="29"/>
      <c r="O19" s="29"/>
      <c r="P19" s="30"/>
      <c r="Q19" s="31" t="n">
        <v>24337</v>
      </c>
      <c r="R19" s="39" t="n">
        <v>23.11</v>
      </c>
      <c r="S19" s="33" t="n">
        <v>19</v>
      </c>
      <c r="T19" s="34"/>
      <c r="U19" s="35" t="n">
        <f aca="false">24337+2311</f>
        <v>26648</v>
      </c>
      <c r="V19" s="28" t="n">
        <v>7.12</v>
      </c>
      <c r="W19" s="28" t="n">
        <v>21.12</v>
      </c>
      <c r="X19" s="28" t="n">
        <v>21.12</v>
      </c>
      <c r="Y19" s="37" t="n">
        <v>16</v>
      </c>
      <c r="Z19" s="38"/>
      <c r="AA19" s="39"/>
      <c r="AB19" s="39"/>
      <c r="AC19" s="40"/>
      <c r="AD19" s="28" t="n">
        <v>27.12</v>
      </c>
      <c r="AE19" s="28" t="n">
        <v>4</v>
      </c>
      <c r="AF19" s="28" t="n">
        <v>27.12</v>
      </c>
      <c r="AG19" s="28" t="n">
        <v>3</v>
      </c>
      <c r="AH19" s="37" t="n">
        <f aca="false">SUM(AE19,AG19)</f>
        <v>7</v>
      </c>
      <c r="AI19" s="42"/>
      <c r="AJ19" s="43" t="str">
        <f aca="false">IF(AND(S19&gt;=12,Y19&gt;=12,AH19&gt;=6),"да","нет")</f>
        <v>да</v>
      </c>
      <c r="AK19" s="2"/>
      <c r="AL19" s="2" t="n">
        <v>40</v>
      </c>
      <c r="AM19" s="23" t="n">
        <f aca="false">SUM(S19,Y19,AA19,AB19,AH19,AL19,AK19)</f>
        <v>82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 t="s">
        <v>482</v>
      </c>
      <c r="C20" s="27" t="s">
        <v>102</v>
      </c>
      <c r="D20" s="27" t="n">
        <v>407959</v>
      </c>
      <c r="E20" s="28" t="s">
        <v>45</v>
      </c>
      <c r="F20" s="28" t="s">
        <v>519</v>
      </c>
      <c r="G20" s="28" t="s">
        <v>45</v>
      </c>
      <c r="H20" s="28" t="s">
        <v>519</v>
      </c>
      <c r="I20" s="28" t="s">
        <v>519</v>
      </c>
      <c r="J20" s="28" t="s">
        <v>518</v>
      </c>
      <c r="K20" s="28" t="s">
        <v>522</v>
      </c>
      <c r="L20" s="28" t="s">
        <v>519</v>
      </c>
      <c r="M20" s="29"/>
      <c r="N20" s="29"/>
      <c r="O20" s="29"/>
      <c r="P20" s="30"/>
      <c r="Q20" s="31" t="n">
        <v>24338</v>
      </c>
      <c r="R20" s="28" t="n">
        <v>23.11</v>
      </c>
      <c r="S20" s="37" t="n">
        <v>17</v>
      </c>
      <c r="T20" s="47"/>
      <c r="U20" s="2" t="n">
        <f aca="false">24338+2311</f>
        <v>26649</v>
      </c>
      <c r="V20" s="28" t="n">
        <v>21.12</v>
      </c>
      <c r="W20" s="28" t="n">
        <v>21.12</v>
      </c>
      <c r="X20" s="28" t="n">
        <v>25.12</v>
      </c>
      <c r="Y20" s="37" t="n">
        <v>16</v>
      </c>
      <c r="Z20" s="38"/>
      <c r="AA20" s="39"/>
      <c r="AB20" s="39"/>
      <c r="AC20" s="48"/>
      <c r="AD20" s="28" t="n">
        <v>25.12</v>
      </c>
      <c r="AE20" s="28" t="n">
        <v>3</v>
      </c>
      <c r="AF20" s="28" t="n">
        <v>25.12</v>
      </c>
      <c r="AG20" s="28" t="n">
        <v>3</v>
      </c>
      <c r="AH20" s="37" t="n">
        <f aca="false">SUM(AE20,AG20)</f>
        <v>6</v>
      </c>
      <c r="AI20" s="42"/>
      <c r="AJ20" s="43" t="str">
        <f aca="false">IF(AND(S20&gt;=12,Y20&gt;=12,AH20&gt;=6),"да","нет")</f>
        <v>да</v>
      </c>
      <c r="AK20" s="2"/>
      <c r="AL20" s="2" t="n">
        <v>40</v>
      </c>
      <c r="AM20" s="23" t="n">
        <f aca="false">SUM(S20,Y20,AA20,AB20,AH20,AL20,AK20)</f>
        <v>79</v>
      </c>
      <c r="AN20" s="29" t="str">
        <f aca="false">IF(AND(S20&gt;=12,Y20&gt;=12,AH20&gt;=6,AL20&gt;=24,AM20&gt;=60),"Зачет","Незачет")</f>
        <v>Зачет</v>
      </c>
    </row>
    <row r="21" customFormat="false" ht="15.75" hidden="false" customHeight="false" outlineLevel="0" collapsed="false">
      <c r="A21" s="25" t="n">
        <v>19</v>
      </c>
      <c r="B21" s="99" t="s">
        <v>499</v>
      </c>
      <c r="C21" s="27" t="s">
        <v>102</v>
      </c>
      <c r="D21" s="27" t="n">
        <v>468127</v>
      </c>
      <c r="E21" s="28" t="s">
        <v>45</v>
      </c>
      <c r="F21" s="28" t="s">
        <v>518</v>
      </c>
      <c r="G21" s="28" t="s">
        <v>45</v>
      </c>
      <c r="H21" s="28" t="s">
        <v>519</v>
      </c>
      <c r="I21" s="28" t="s">
        <v>518</v>
      </c>
      <c r="J21" s="28" t="s">
        <v>519</v>
      </c>
      <c r="K21" s="28" t="s">
        <v>522</v>
      </c>
      <c r="L21" s="28"/>
      <c r="M21" s="29"/>
      <c r="N21" s="29"/>
      <c r="O21" s="29"/>
      <c r="P21" s="30"/>
      <c r="Q21" s="31" t="n">
        <v>24339</v>
      </c>
      <c r="R21" s="28" t="n">
        <v>7.12</v>
      </c>
      <c r="S21" s="37" t="n">
        <v>17</v>
      </c>
      <c r="T21" s="47"/>
      <c r="U21" s="2" t="n">
        <f aca="false">24339+2311</f>
        <v>26650</v>
      </c>
      <c r="V21" s="28" t="n">
        <v>21.12</v>
      </c>
      <c r="W21" s="28" t="n">
        <v>21.12</v>
      </c>
      <c r="X21" s="28" t="n">
        <v>21.12</v>
      </c>
      <c r="Y21" s="37" t="n">
        <v>17</v>
      </c>
      <c r="Z21" s="38"/>
      <c r="AA21" s="39"/>
      <c r="AB21" s="39"/>
      <c r="AC21" s="48"/>
      <c r="AD21" s="28" t="n">
        <v>27.12</v>
      </c>
      <c r="AE21" s="28" t="n">
        <v>4.5</v>
      </c>
      <c r="AF21" s="28" t="n">
        <v>27.12</v>
      </c>
      <c r="AG21" s="28" t="n">
        <v>5</v>
      </c>
      <c r="AH21" s="37" t="n">
        <f aca="false">SUM(AE21,AG21)</f>
        <v>9.5</v>
      </c>
      <c r="AI21" s="42"/>
      <c r="AJ21" s="43" t="str">
        <f aca="false">IF(AND(S21&gt;=12,Y21&gt;=12,AH21&gt;=6),"да","нет")</f>
        <v>да</v>
      </c>
      <c r="AK21" s="2"/>
      <c r="AL21" s="2" t="n">
        <v>40</v>
      </c>
      <c r="AM21" s="23" t="n">
        <f aca="false">SUM(S21,Y21,AA21,AB21,AH21,AL21,AK21)</f>
        <v>83.5</v>
      </c>
      <c r="AN21" s="29" t="str">
        <f aca="false">IF(AND(S21&gt;=12,Y21&gt;=12,AH21&gt;=6,AL21&gt;=24,AM21&gt;=60),"Зачет","Незачет")</f>
        <v>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6</v>
      </c>
      <c r="G25" s="37" t="n">
        <f aca="false">COUNTIF(G$3:G$23, "~**")</f>
        <v>8</v>
      </c>
      <c r="H25" s="37" t="n">
        <f aca="false">COUNTIF(H$3:H$23, "~**")</f>
        <v>6</v>
      </c>
      <c r="I25" s="37" t="n">
        <f aca="false">COUNTIF(I$3:I$23, "~**")</f>
        <v>14</v>
      </c>
      <c r="J25" s="37" t="n">
        <f aca="false">COUNTIF(J$3:J$23, "~**")</f>
        <v>14</v>
      </c>
      <c r="K25" s="37" t="n">
        <f aca="false">COUNTIF(K$3:K$23, "~**")</f>
        <v>16</v>
      </c>
      <c r="L25" s="37" t="n">
        <f aca="false">COUNTIF(L$3:L$23, "~**")</f>
        <v>4</v>
      </c>
      <c r="M25" s="54" t="n">
        <f aca="false">COUNTIF(M$3:M$23, "~**")</f>
        <v>3</v>
      </c>
      <c r="N25" s="54" t="n">
        <f aca="false">COUNTIF(N$3:N$23, "~**")</f>
        <v>3</v>
      </c>
      <c r="O25" s="54" t="n">
        <f aca="false">COUNTIF(O$3:O$23, "~**")</f>
        <v>2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19</v>
      </c>
      <c r="F26" s="37" t="n">
        <f aca="false">COUNTIF(F$3:F$23, "~**")+COUNTIF(F$3:F$23, "Y")</f>
        <v>9</v>
      </c>
      <c r="G26" s="37" t="n">
        <f aca="false">COUNTIF(G$3:G$23, "~**")+COUNTIF(G$3:G$23, "Y")</f>
        <v>14</v>
      </c>
      <c r="H26" s="37" t="n">
        <f aca="false">COUNTIF(H$3:H$23, "~**")+COUNTIF(H$3:H$23, "Y")</f>
        <v>12</v>
      </c>
      <c r="I26" s="37" t="n">
        <f aca="false">COUNTIF(I$3:I$23, "~**")+COUNTIF(I$3:I$23, "Y")</f>
        <v>14</v>
      </c>
      <c r="J26" s="37" t="n">
        <f aca="false">COUNTIF(J$3:J$23, "~**")+COUNTIF(J$3:J$23, "Y")</f>
        <v>14</v>
      </c>
      <c r="K26" s="37" t="n">
        <f aca="false">COUNTIF(K$3:K$23, "~**")+COUNTIF(K$3:K$23, "Y")</f>
        <v>16</v>
      </c>
      <c r="L26" s="37" t="n">
        <f aca="false">COUNTIF(L$3:L$23, "~**")+COUNTIF(L$3:L$23, "Y")</f>
        <v>4</v>
      </c>
      <c r="M26" s="54" t="n">
        <f aca="false">COUNTIF(M$3:M$23, "~**")+COUNTIF(M$3:M$23, "Y")</f>
        <v>3</v>
      </c>
      <c r="N26" s="54" t="n">
        <f aca="false">COUNTIF(N$3:N$23, "~**")+COUNTIF(N$3:N$23, "Y")</f>
        <v>3</v>
      </c>
      <c r="O26" s="54" t="n">
        <f aca="false">COUNTIF(O$3:O$23, "~**")+COUNTIF(O$3:O$23, "Y")</f>
        <v>2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0.9473684211</v>
      </c>
      <c r="T28" s="62"/>
      <c r="U28" s="61"/>
      <c r="V28" s="61"/>
      <c r="W28" s="61"/>
      <c r="X28" s="61"/>
      <c r="Y28" s="61" t="n">
        <f aca="false">IFERROR(COUNTA(Y$3:Y23)/COUNTA($B$3:$B$23), 0)</f>
        <v>0.9473684211</v>
      </c>
      <c r="Z28" s="63"/>
      <c r="AA28" s="2"/>
      <c r="AB28" s="2"/>
      <c r="AC28" s="57"/>
      <c r="AE28" s="61" t="n">
        <f aca="false">IFERROR(COUNTIF(AE$3:AE23, "&gt;0")/COUNTA($B$3:$B$22), 0)</f>
        <v>0.9473684211</v>
      </c>
      <c r="AG28" s="61" t="n">
        <f aca="false">IFERROR(COUNTIF(AG$3:AG23, "&gt;0")/COUNTA($B$3:$B$22), 0)</f>
        <v>0.947368421052632</v>
      </c>
      <c r="AH28" s="61" t="n">
        <f aca="false">IFERROR(COUNTIF(AH$3:AH23, "&gt;0")/COUNTA($B$3:$B$22), 0)</f>
        <v>0.947368421052632</v>
      </c>
      <c r="AI28" s="64"/>
      <c r="AJ28" s="65"/>
      <c r="AK28" s="2"/>
      <c r="AL28" s="61" t="n">
        <f aca="false">IFERROR(COUNTIF(AL$3:AL23, "&gt;24")/COUNTA($B$3:$B$22), 0)</f>
        <v>0.9473684211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 M13">
    <cfRule type="cellIs" priority="5" operator="equal" aboveAverage="0" equalAverage="0" bottom="0" percent="0" rank="0" text="" dxfId="3">
      <formula>"N"</formula>
    </cfRule>
  </conditionalFormatting>
  <conditionalFormatting sqref="S3:S23 Y3:AB23 AH3:AH23 AK3:AL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3">
    <cfRule type="expression" priority="7" aboveAverage="0" equalAverage="0" bottom="0" percent="0" rank="0" text="" dxfId="5">
      <formula>R3&gt;45230</formula>
    </cfRule>
  </conditionalFormatting>
  <conditionalFormatting sqref="V3:X23 AC3:AG23 R6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37.63"/>
    <col collapsed="false" customWidth="true" hidden="false" outlineLevel="0" max="4" min="3" style="0" width="8"/>
    <col collapsed="false" customWidth="true" hidden="false" outlineLevel="0" max="15" min="5" style="0" width="3.38"/>
    <col collapsed="false" customWidth="true" hidden="false" outlineLevel="0" max="16" min="16" style="0" width="0.38"/>
    <col collapsed="false" customWidth="true" hidden="false" outlineLevel="0" max="17" min="17" style="0" width="5.75"/>
    <col collapsed="false" customWidth="true" hidden="false" outlineLevel="0" max="18" min="18" style="0" width="4.75"/>
    <col collapsed="false" customWidth="true" hidden="false" outlineLevel="0" max="19" min="19" style="0" width="4.38"/>
    <col collapsed="false" customWidth="true" hidden="false" outlineLevel="0" max="20" min="20" style="0" width="0.38"/>
    <col collapsed="false" customWidth="true" hidden="false" outlineLevel="0" max="21" min="21" style="0" width="5.75"/>
    <col collapsed="false" customWidth="true" hidden="false" outlineLevel="0" max="22" min="22" style="0" width="4.75"/>
    <col collapsed="false" customWidth="true" hidden="false" outlineLevel="0" max="23" min="23" style="0" width="5.13"/>
    <col collapsed="false" customWidth="true" hidden="false" outlineLevel="0" max="24" min="24" style="0" width="4.75"/>
    <col collapsed="false" customWidth="true" hidden="false" outlineLevel="0" max="25" min="25" style="0" width="4.38"/>
    <col collapsed="false" customWidth="true" hidden="false" outlineLevel="0" max="26" min="26" style="0" width="0.38"/>
    <col collapsed="false" customWidth="true" hidden="false" outlineLevel="0" max="27" min="27" style="0" width="4.38"/>
    <col collapsed="false" customWidth="true" hidden="false" outlineLevel="0" max="28" min="28" style="0" width="4.5"/>
    <col collapsed="false" customWidth="true" hidden="false" outlineLevel="0" max="29" min="29" style="0" width="0.38"/>
    <col collapsed="false" customWidth="true" hidden="false" outlineLevel="0" max="33" min="30" style="0" width="5.63"/>
    <col collapsed="false" customWidth="true" hidden="false" outlineLevel="0" max="34" min="34" style="0" width="4.38"/>
    <col collapsed="false" customWidth="true" hidden="false" outlineLevel="0" max="35" min="35" style="0" width="0.38"/>
    <col collapsed="false" customWidth="true" hidden="false" outlineLevel="0" max="36" min="36" style="0" width="7.63"/>
    <col collapsed="false" customWidth="true" hidden="false" outlineLevel="0" max="37" min="37" style="0" width="5.63"/>
    <col collapsed="false" customWidth="true" hidden="false" outlineLevel="0" max="38" min="38" style="0" width="7.12"/>
    <col collapsed="false" customWidth="true" hidden="false" outlineLevel="0" max="39" min="39" style="0" width="6.88"/>
    <col collapsed="false" customWidth="true" hidden="false" outlineLevel="0" max="40" min="40" style="0" width="7.5"/>
  </cols>
  <sheetData>
    <row r="1" customFormat="false" ht="15.75" hidden="false" customHeight="true" outlineLevel="0" collapsed="false">
      <c r="A1" s="1" t="s">
        <v>37</v>
      </c>
      <c r="B1" s="2" t="s">
        <v>0</v>
      </c>
      <c r="C1" s="3"/>
      <c r="D1" s="4" t="n">
        <f aca="false">COLUMNS(A2:AN2)-40</f>
        <v>0</v>
      </c>
      <c r="E1" s="5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 t="s">
        <v>3</v>
      </c>
      <c r="R1" s="5"/>
      <c r="S1" s="5"/>
      <c r="T1" s="6"/>
      <c r="U1" s="5" t="s">
        <v>4</v>
      </c>
      <c r="V1" s="5"/>
      <c r="W1" s="5"/>
      <c r="X1" s="5"/>
      <c r="Y1" s="5"/>
      <c r="Z1" s="7"/>
      <c r="AA1" s="8" t="s">
        <v>5</v>
      </c>
      <c r="AB1" s="8" t="s">
        <v>6</v>
      </c>
      <c r="AC1" s="7"/>
      <c r="AD1" s="8" t="s">
        <v>7</v>
      </c>
      <c r="AE1" s="8"/>
      <c r="AF1" s="8" t="s">
        <v>8</v>
      </c>
      <c r="AG1" s="8"/>
      <c r="AH1" s="1" t="s">
        <v>9</v>
      </c>
      <c r="AI1" s="10"/>
      <c r="AJ1" s="11" t="s">
        <v>10</v>
      </c>
      <c r="AK1" s="8" t="s">
        <v>11</v>
      </c>
      <c r="AL1" s="8" t="s">
        <v>12</v>
      </c>
      <c r="AM1" s="12" t="s">
        <v>13</v>
      </c>
      <c r="AN1" s="12"/>
    </row>
    <row r="2" customFormat="false" ht="28.35" hidden="false" customHeight="false" outlineLevel="0" collapsed="false">
      <c r="A2" s="1"/>
      <c r="B2" s="13" t="s">
        <v>14</v>
      </c>
      <c r="C2" s="14" t="s">
        <v>15</v>
      </c>
      <c r="D2" s="14" t="s">
        <v>16</v>
      </c>
      <c r="E2" s="116" t="n">
        <v>17.09</v>
      </c>
      <c r="F2" s="15" t="n">
        <f aca="false">E2+14</f>
        <v>31.09</v>
      </c>
      <c r="G2" s="15" t="n">
        <f aca="false">F2+14</f>
        <v>45.09</v>
      </c>
      <c r="H2" s="15" t="n">
        <f aca="false">G2+14</f>
        <v>59.09</v>
      </c>
      <c r="I2" s="15" t="n">
        <f aca="false">H2+14</f>
        <v>73.09</v>
      </c>
      <c r="J2" s="15" t="n">
        <f aca="false">I2+14</f>
        <v>87.09</v>
      </c>
      <c r="K2" s="15" t="n">
        <f aca="false">J2+14</f>
        <v>101.09</v>
      </c>
      <c r="L2" s="15" t="n">
        <f aca="false">K2+14</f>
        <v>115.09</v>
      </c>
      <c r="M2" s="16"/>
      <c r="N2" s="17"/>
      <c r="O2" s="17"/>
      <c r="P2" s="18"/>
      <c r="Q2" s="19" t="s">
        <v>17</v>
      </c>
      <c r="R2" s="19" t="s">
        <v>18</v>
      </c>
      <c r="S2" s="19" t="s">
        <v>19</v>
      </c>
      <c r="T2" s="6"/>
      <c r="U2" s="19" t="s">
        <v>17</v>
      </c>
      <c r="V2" s="19" t="s">
        <v>20</v>
      </c>
      <c r="W2" s="20" t="s">
        <v>21</v>
      </c>
      <c r="X2" s="20" t="s">
        <v>18</v>
      </c>
      <c r="Y2" s="19" t="s">
        <v>19</v>
      </c>
      <c r="Z2" s="7"/>
      <c r="AA2" s="8"/>
      <c r="AB2" s="8"/>
      <c r="AC2" s="21"/>
      <c r="AD2" s="22" t="s">
        <v>22</v>
      </c>
      <c r="AE2" s="22" t="s">
        <v>23</v>
      </c>
      <c r="AF2" s="22" t="s">
        <v>22</v>
      </c>
      <c r="AG2" s="22" t="s">
        <v>23</v>
      </c>
      <c r="AH2" s="1"/>
      <c r="AI2" s="10"/>
      <c r="AJ2" s="11"/>
      <c r="AK2" s="11"/>
      <c r="AL2" s="11"/>
      <c r="AM2" s="23" t="s">
        <v>24</v>
      </c>
      <c r="AN2" s="24" t="s">
        <v>25</v>
      </c>
    </row>
    <row r="3" customFormat="false" ht="15.75" hidden="false" customHeight="false" outlineLevel="0" collapsed="false">
      <c r="A3" s="25" t="n">
        <v>1</v>
      </c>
      <c r="B3" s="26" t="s">
        <v>90</v>
      </c>
      <c r="C3" s="27" t="s">
        <v>91</v>
      </c>
      <c r="D3" s="27" t="n">
        <v>464906</v>
      </c>
      <c r="E3" s="28" t="s">
        <v>45</v>
      </c>
      <c r="F3" s="28" t="s">
        <v>518</v>
      </c>
      <c r="G3" s="28" t="s">
        <v>45</v>
      </c>
      <c r="H3" s="28"/>
      <c r="I3" s="28" t="s">
        <v>45</v>
      </c>
      <c r="J3" s="28"/>
      <c r="K3" s="28"/>
      <c r="L3" s="28"/>
      <c r="M3" s="29"/>
      <c r="N3" s="29"/>
      <c r="O3" s="29"/>
      <c r="P3" s="30"/>
      <c r="Q3" s="31" t="n">
        <v>4906</v>
      </c>
      <c r="R3" s="39" t="s">
        <v>519</v>
      </c>
      <c r="S3" s="33" t="n">
        <v>17</v>
      </c>
      <c r="T3" s="34"/>
      <c r="U3" s="35" t="n">
        <v>3175</v>
      </c>
      <c r="V3" s="36" t="n">
        <v>45645</v>
      </c>
      <c r="W3" s="36" t="n">
        <v>45645</v>
      </c>
      <c r="X3" s="36" t="n">
        <v>45645</v>
      </c>
      <c r="Y3" s="37" t="n">
        <v>19</v>
      </c>
      <c r="Z3" s="38"/>
      <c r="AA3" s="39"/>
      <c r="AB3" s="39"/>
      <c r="AC3" s="40"/>
      <c r="AD3" s="41" t="n">
        <v>46014</v>
      </c>
      <c r="AE3" s="28" t="n">
        <v>8.5</v>
      </c>
      <c r="AF3" s="41"/>
      <c r="AG3" s="41"/>
      <c r="AH3" s="37" t="n">
        <f aca="false">SUM(AE3,AG3)</f>
        <v>8.5</v>
      </c>
      <c r="AI3" s="42"/>
      <c r="AJ3" s="43" t="str">
        <f aca="false">IF(AND(S3&gt;=12,Y3&gt;=12,AH3&gt;=6),"да","нет")</f>
        <v>да</v>
      </c>
      <c r="AK3" s="2"/>
      <c r="AL3" s="2" t="n">
        <v>40</v>
      </c>
      <c r="AM3" s="23" t="n">
        <f aca="false">SUM(S3,Y3,AA3,AB3,AH3,AL3,AK3)</f>
        <v>84.5</v>
      </c>
      <c r="AN3" s="29" t="str">
        <f aca="false">IF(AND(S3&gt;=12,Y3&gt;=12,AH3&gt;=6,AL3&gt;=24,AM3&gt;=60),"Зачет","Незачет")</f>
        <v>Зачет</v>
      </c>
    </row>
    <row r="4" customFormat="false" ht="15.75" hidden="false" customHeight="false" outlineLevel="0" collapsed="false">
      <c r="A4" s="25" t="n">
        <v>2</v>
      </c>
      <c r="B4" s="26" t="s">
        <v>161</v>
      </c>
      <c r="C4" s="27" t="s">
        <v>91</v>
      </c>
      <c r="D4" s="27" t="n">
        <v>465591</v>
      </c>
      <c r="E4" s="28" t="s">
        <v>45</v>
      </c>
      <c r="F4" s="28" t="s">
        <v>518</v>
      </c>
      <c r="G4" s="28" t="s">
        <v>45</v>
      </c>
      <c r="H4" s="28" t="s">
        <v>45</v>
      </c>
      <c r="I4" s="28"/>
      <c r="J4" s="28"/>
      <c r="K4" s="28"/>
      <c r="L4" s="28"/>
      <c r="M4" s="29"/>
      <c r="N4" s="29"/>
      <c r="O4" s="29"/>
      <c r="P4" s="30"/>
      <c r="Q4" s="31" t="n">
        <v>5591</v>
      </c>
      <c r="R4" s="39" t="s">
        <v>519</v>
      </c>
      <c r="S4" s="33" t="n">
        <v>19</v>
      </c>
      <c r="T4" s="34"/>
      <c r="U4" s="35" t="n">
        <v>3286</v>
      </c>
      <c r="V4" s="36" t="n">
        <v>45645</v>
      </c>
      <c r="W4" s="36" t="n">
        <v>45645</v>
      </c>
      <c r="X4" s="36" t="n">
        <v>45645</v>
      </c>
      <c r="Y4" s="37" t="n">
        <v>19</v>
      </c>
      <c r="Z4" s="38"/>
      <c r="AA4" s="39"/>
      <c r="AB4" s="39"/>
      <c r="AC4" s="40"/>
      <c r="AD4" s="41" t="n">
        <v>46014</v>
      </c>
      <c r="AE4" s="28" t="n">
        <v>9</v>
      </c>
      <c r="AF4" s="41"/>
      <c r="AG4" s="41"/>
      <c r="AH4" s="37" t="n">
        <f aca="false">SUM(AE4,AG4)</f>
        <v>9</v>
      </c>
      <c r="AI4" s="42"/>
      <c r="AJ4" s="43" t="str">
        <f aca="false">IF(AND(S4&gt;=12,Y4&gt;=12,AH4&gt;=6),"да","нет")</f>
        <v>да</v>
      </c>
      <c r="AK4" s="2"/>
      <c r="AL4" s="2" t="n">
        <v>40</v>
      </c>
      <c r="AM4" s="23" t="n">
        <f aca="false">SUM(S4,Y4,AA4,AB4,AH4,AL4,AK4)</f>
        <v>87</v>
      </c>
      <c r="AN4" s="29" t="str">
        <f aca="false">IF(AND(S4&gt;=12,Y4&gt;=12,AH4&gt;=6,AL4&gt;=24,AM4&gt;=60),"Зачет","Незачет")</f>
        <v>Зачет</v>
      </c>
    </row>
    <row r="5" customFormat="false" ht="15.75" hidden="false" customHeight="false" outlineLevel="0" collapsed="false">
      <c r="A5" s="25" t="n">
        <v>3</v>
      </c>
      <c r="B5" s="26" t="s">
        <v>167</v>
      </c>
      <c r="C5" s="27" t="s">
        <v>91</v>
      </c>
      <c r="D5" s="27" t="n">
        <v>465657</v>
      </c>
      <c r="E5" s="28" t="s">
        <v>45</v>
      </c>
      <c r="F5" s="28" t="s">
        <v>45</v>
      </c>
      <c r="G5" s="28"/>
      <c r="H5" s="28" t="s">
        <v>45</v>
      </c>
      <c r="I5" s="28" t="s">
        <v>45</v>
      </c>
      <c r="J5" s="28" t="s">
        <v>45</v>
      </c>
      <c r="K5" s="28"/>
      <c r="L5" s="28"/>
      <c r="M5" s="29"/>
      <c r="N5" s="29"/>
      <c r="O5" s="29"/>
      <c r="P5" s="30"/>
      <c r="Q5" s="31" t="n">
        <v>5657</v>
      </c>
      <c r="R5" s="39" t="s">
        <v>519</v>
      </c>
      <c r="S5" s="33" t="n">
        <v>17</v>
      </c>
      <c r="T5" s="34"/>
      <c r="U5" s="35" t="n">
        <v>8648</v>
      </c>
      <c r="V5" s="36" t="n">
        <v>45645</v>
      </c>
      <c r="W5" s="36" t="n">
        <v>45645</v>
      </c>
      <c r="X5" s="41" t="n">
        <v>45645</v>
      </c>
      <c r="Y5" s="37" t="n">
        <v>19</v>
      </c>
      <c r="Z5" s="38"/>
      <c r="AA5" s="39"/>
      <c r="AB5" s="39"/>
      <c r="AC5" s="44"/>
      <c r="AD5" s="36" t="n">
        <v>45675</v>
      </c>
      <c r="AE5" s="28" t="n">
        <v>6</v>
      </c>
      <c r="AF5" s="36"/>
      <c r="AG5" s="36"/>
      <c r="AH5" s="37" t="n">
        <f aca="false">SUM(AE5,AG5)</f>
        <v>6</v>
      </c>
      <c r="AI5" s="42"/>
      <c r="AJ5" s="43" t="str">
        <f aca="false">IF(AND(S5&gt;=12,Y5&gt;=12,AH5&gt;=6),"да","нет")</f>
        <v>да</v>
      </c>
      <c r="AK5" s="2"/>
      <c r="AL5" s="2" t="n">
        <v>34</v>
      </c>
      <c r="AM5" s="23" t="n">
        <f aca="false">SUM(S5,Y5,AA5,AB5,AH5,AL5,AK5)</f>
        <v>76</v>
      </c>
      <c r="AN5" s="29" t="str">
        <f aca="false">IF(AND(S5&gt;=12,Y5&gt;=12,AH5&gt;=6,AL5&gt;=24,AM5&gt;=60),"Зачет","Незачет")</f>
        <v>Зачет</v>
      </c>
    </row>
    <row r="6" customFormat="false" ht="15.75" hidden="false" customHeight="false" outlineLevel="0" collapsed="false">
      <c r="A6" s="25" t="n">
        <v>4</v>
      </c>
      <c r="B6" s="26" t="s">
        <v>192</v>
      </c>
      <c r="C6" s="27" t="s">
        <v>91</v>
      </c>
      <c r="D6" s="27" t="n">
        <v>465870</v>
      </c>
      <c r="E6" s="28" t="s">
        <v>45</v>
      </c>
      <c r="F6" s="28" t="s">
        <v>45</v>
      </c>
      <c r="G6" s="28" t="s">
        <v>518</v>
      </c>
      <c r="H6" s="28" t="s">
        <v>45</v>
      </c>
      <c r="I6" s="28" t="s">
        <v>45</v>
      </c>
      <c r="J6" s="28"/>
      <c r="K6" s="28"/>
      <c r="L6" s="28"/>
      <c r="M6" s="29"/>
      <c r="N6" s="29"/>
      <c r="O6" s="29"/>
      <c r="P6" s="30"/>
      <c r="Q6" s="31" t="n">
        <v>5870</v>
      </c>
      <c r="R6" s="39" t="s">
        <v>519</v>
      </c>
      <c r="S6" s="33" t="n">
        <v>20</v>
      </c>
      <c r="T6" s="34"/>
      <c r="U6" s="35" t="n">
        <v>8749</v>
      </c>
      <c r="V6" s="36" t="n">
        <v>45645</v>
      </c>
      <c r="W6" s="36" t="n">
        <v>45645</v>
      </c>
      <c r="X6" s="36" t="n">
        <v>45645</v>
      </c>
      <c r="Y6" s="37" t="n">
        <v>20</v>
      </c>
      <c r="Z6" s="38"/>
      <c r="AA6" s="39"/>
      <c r="AB6" s="39"/>
      <c r="AC6" s="44"/>
      <c r="AD6" s="36" t="n">
        <v>46014</v>
      </c>
      <c r="AE6" s="28" t="n">
        <v>9</v>
      </c>
      <c r="AF6" s="36"/>
      <c r="AG6" s="36"/>
      <c r="AH6" s="37" t="n">
        <f aca="false">SUM(AE6,AG6)</f>
        <v>9</v>
      </c>
      <c r="AI6" s="42"/>
      <c r="AJ6" s="43" t="str">
        <f aca="false">IF(AND(S6&gt;=12,Y6&gt;=12,AH6&gt;=6),"да","нет")</f>
        <v>да</v>
      </c>
      <c r="AK6" s="2"/>
      <c r="AL6" s="2" t="n">
        <v>40</v>
      </c>
      <c r="AM6" s="23" t="n">
        <f aca="false">SUM(S6,Y6,AA6,AB6,AH6,AL6,AK6)</f>
        <v>89</v>
      </c>
      <c r="AN6" s="29" t="str">
        <f aca="false">IF(AND(S6&gt;=12,Y6&gt;=12,AH6&gt;=6,AL6&gt;=24,AM6&gt;=60),"Зачет","Незачет")</f>
        <v>Зачет</v>
      </c>
    </row>
    <row r="7" customFormat="false" ht="15.75" hidden="false" customHeight="false" outlineLevel="0" collapsed="false">
      <c r="A7" s="25" t="n">
        <v>5</v>
      </c>
      <c r="B7" s="26" t="s">
        <v>222</v>
      </c>
      <c r="C7" s="27" t="s">
        <v>91</v>
      </c>
      <c r="D7" s="27" t="n">
        <v>466127</v>
      </c>
      <c r="E7" s="28" t="s">
        <v>45</v>
      </c>
      <c r="F7" s="28" t="s">
        <v>45</v>
      </c>
      <c r="G7" s="28" t="s">
        <v>45</v>
      </c>
      <c r="H7" s="28" t="s">
        <v>45</v>
      </c>
      <c r="I7" s="28"/>
      <c r="J7" s="28" t="s">
        <v>45</v>
      </c>
      <c r="K7" s="28"/>
      <c r="L7" s="28"/>
      <c r="M7" s="29"/>
      <c r="N7" s="29"/>
      <c r="O7" s="29"/>
      <c r="P7" s="30"/>
      <c r="Q7" s="31" t="n">
        <v>6127</v>
      </c>
      <c r="R7" s="39" t="s">
        <v>519</v>
      </c>
      <c r="S7" s="33" t="n">
        <v>20</v>
      </c>
      <c r="T7" s="34"/>
      <c r="U7" s="35" t="n">
        <v>9876</v>
      </c>
      <c r="V7" s="28" t="n">
        <v>9.12</v>
      </c>
      <c r="W7" s="28" t="n">
        <v>9.12</v>
      </c>
      <c r="X7" s="28" t="n">
        <v>9.12</v>
      </c>
      <c r="Y7" s="37" t="n">
        <v>20</v>
      </c>
      <c r="Z7" s="38"/>
      <c r="AA7" s="39"/>
      <c r="AB7" s="39"/>
      <c r="AC7" s="40"/>
      <c r="AD7" s="41" t="n">
        <v>46014</v>
      </c>
      <c r="AE7" s="28" t="n">
        <v>8</v>
      </c>
      <c r="AF7" s="41"/>
      <c r="AG7" s="41"/>
      <c r="AH7" s="37" t="n">
        <f aca="false">SUM(AE7,AG7)</f>
        <v>8</v>
      </c>
      <c r="AI7" s="42"/>
      <c r="AJ7" s="43" t="str">
        <f aca="false">IF(AND(S7&gt;=12,Y7&gt;=12,AH7&gt;=6),"да","нет")</f>
        <v>да</v>
      </c>
      <c r="AK7" s="2"/>
      <c r="AL7" s="2" t="n">
        <v>40</v>
      </c>
      <c r="AM7" s="23" t="n">
        <f aca="false">SUM(S7,Y7,AA7,AB7,AH7,AL7,AK7)</f>
        <v>88</v>
      </c>
      <c r="AN7" s="29" t="str">
        <f aca="false">IF(AND(S7&gt;=12,Y7&gt;=12,AH7&gt;=6,AL7&gt;=24,AM7&gt;=60),"Зачет","Незачет")</f>
        <v>Зачет</v>
      </c>
    </row>
    <row r="8" customFormat="false" ht="15.75" hidden="false" customHeight="false" outlineLevel="0" collapsed="false">
      <c r="A8" s="25" t="n">
        <v>6</v>
      </c>
      <c r="B8" s="26" t="s">
        <v>247</v>
      </c>
      <c r="C8" s="27" t="s">
        <v>91</v>
      </c>
      <c r="D8" s="27" t="n">
        <v>472094</v>
      </c>
      <c r="E8" s="28" t="s">
        <v>45</v>
      </c>
      <c r="F8" s="28" t="s">
        <v>45</v>
      </c>
      <c r="G8" s="28" t="s">
        <v>45</v>
      </c>
      <c r="H8" s="28" t="s">
        <v>45</v>
      </c>
      <c r="I8" s="28"/>
      <c r="J8" s="28" t="s">
        <v>45</v>
      </c>
      <c r="K8" s="28"/>
      <c r="L8" s="28"/>
      <c r="M8" s="29"/>
      <c r="N8" s="29"/>
      <c r="O8" s="29"/>
      <c r="P8" s="30"/>
      <c r="Q8" s="31" t="n">
        <v>2094</v>
      </c>
      <c r="R8" s="39" t="s">
        <v>519</v>
      </c>
      <c r="S8" s="33" t="n">
        <v>19</v>
      </c>
      <c r="T8" s="34"/>
      <c r="U8" s="35" t="n">
        <v>8787</v>
      </c>
      <c r="V8" s="77" t="n">
        <v>45673</v>
      </c>
      <c r="W8" s="77" t="n">
        <v>45673</v>
      </c>
      <c r="X8" s="36" t="n">
        <v>45673</v>
      </c>
      <c r="Y8" s="37" t="n">
        <v>17</v>
      </c>
      <c r="Z8" s="38"/>
      <c r="AA8" s="39"/>
      <c r="AB8" s="39"/>
      <c r="AC8" s="40"/>
      <c r="AD8" s="41" t="n">
        <v>45675</v>
      </c>
      <c r="AE8" s="28" t="n">
        <v>6</v>
      </c>
      <c r="AF8" s="41"/>
      <c r="AG8" s="41"/>
      <c r="AH8" s="37" t="n">
        <f aca="false">SUM(AE8,AG8)</f>
        <v>6</v>
      </c>
      <c r="AI8" s="42"/>
      <c r="AJ8" s="43" t="str">
        <f aca="false">IF(AND(S8&gt;=12,Y8&gt;=12,AH8&gt;=6),"да","нет")</f>
        <v>да</v>
      </c>
      <c r="AK8" s="2"/>
      <c r="AL8" s="2" t="n">
        <v>32</v>
      </c>
      <c r="AM8" s="23" t="n">
        <f aca="false">SUM(S8,Y8,AA8,AB8,AH8,AL8,AK8)</f>
        <v>74</v>
      </c>
      <c r="AN8" s="29" t="str">
        <f aca="false">IF(AND(S8&gt;=12,Y8&gt;=12,AH8&gt;=6,AL8&gt;=24,AM8&gt;=60),"Зачет","Незачет")</f>
        <v>Зачет</v>
      </c>
    </row>
    <row r="9" customFormat="false" ht="15.75" hidden="false" customHeight="false" outlineLevel="0" collapsed="false">
      <c r="A9" s="25" t="n">
        <v>7</v>
      </c>
      <c r="B9" s="26" t="s">
        <v>250</v>
      </c>
      <c r="C9" s="27" t="s">
        <v>91</v>
      </c>
      <c r="D9" s="27" t="n">
        <v>466363</v>
      </c>
      <c r="E9" s="28" t="s">
        <v>45</v>
      </c>
      <c r="F9" s="28" t="s">
        <v>45</v>
      </c>
      <c r="G9" s="28" t="s">
        <v>45</v>
      </c>
      <c r="H9" s="28" t="s">
        <v>45</v>
      </c>
      <c r="I9" s="28"/>
      <c r="J9" s="28" t="s">
        <v>45</v>
      </c>
      <c r="K9" s="28"/>
      <c r="L9" s="28"/>
      <c r="M9" s="29"/>
      <c r="N9" s="29"/>
      <c r="O9" s="29"/>
      <c r="P9" s="30"/>
      <c r="Q9" s="31" t="n">
        <v>6363</v>
      </c>
      <c r="R9" s="39" t="s">
        <v>519</v>
      </c>
      <c r="S9" s="33" t="n">
        <v>20</v>
      </c>
      <c r="T9" s="34"/>
      <c r="U9" s="35" t="n">
        <v>6666</v>
      </c>
      <c r="V9" s="36" t="n">
        <v>45645</v>
      </c>
      <c r="W9" s="36" t="n">
        <v>45645</v>
      </c>
      <c r="X9" s="41" t="n">
        <v>45645</v>
      </c>
      <c r="Y9" s="37" t="n">
        <v>16</v>
      </c>
      <c r="Z9" s="38"/>
      <c r="AA9" s="39"/>
      <c r="AB9" s="39"/>
      <c r="AC9" s="44"/>
      <c r="AD9" s="36" t="n">
        <v>46014</v>
      </c>
      <c r="AE9" s="28" t="n">
        <v>8</v>
      </c>
      <c r="AF9" s="36"/>
      <c r="AG9" s="36"/>
      <c r="AH9" s="37" t="n">
        <f aca="false">SUM(AE9,AG9)</f>
        <v>8</v>
      </c>
      <c r="AI9" s="42"/>
      <c r="AJ9" s="43" t="str">
        <f aca="false">IF(AND(S9&gt;=12,Y9&gt;=12,AH9&gt;=6),"да","нет")</f>
        <v>да</v>
      </c>
      <c r="AK9" s="2"/>
      <c r="AL9" s="2" t="n">
        <v>40</v>
      </c>
      <c r="AM9" s="23" t="n">
        <f aca="false">SUM(S9,Y9,AA9,AB9,AH9,AL9,AK9)</f>
        <v>84</v>
      </c>
      <c r="AN9" s="29" t="str">
        <f aca="false">IF(AND(S9&gt;=12,Y9&gt;=12,AH9&gt;=6,AL9&gt;=24,AM9&gt;=60),"Зачет","Незачет")</f>
        <v>Зачет</v>
      </c>
    </row>
    <row r="10" customFormat="false" ht="15.75" hidden="false" customHeight="false" outlineLevel="0" collapsed="false">
      <c r="A10" s="25" t="n">
        <v>8</v>
      </c>
      <c r="B10" s="26" t="s">
        <v>275</v>
      </c>
      <c r="C10" s="27" t="s">
        <v>91</v>
      </c>
      <c r="D10" s="27" t="n">
        <v>367349</v>
      </c>
      <c r="E10" s="28" t="s">
        <v>45</v>
      </c>
      <c r="F10" s="28" t="s">
        <v>518</v>
      </c>
      <c r="G10" s="28"/>
      <c r="H10" s="28"/>
      <c r="I10" s="28"/>
      <c r="J10" s="28"/>
      <c r="K10" s="28"/>
      <c r="L10" s="28"/>
      <c r="M10" s="29"/>
      <c r="N10" s="29"/>
      <c r="O10" s="29"/>
      <c r="P10" s="30"/>
      <c r="Q10" s="31" t="n">
        <v>7349</v>
      </c>
      <c r="R10" s="32"/>
      <c r="S10" s="33"/>
      <c r="T10" s="34"/>
      <c r="U10" s="35"/>
      <c r="V10" s="36"/>
      <c r="W10" s="36"/>
      <c r="X10" s="36"/>
      <c r="Y10" s="37"/>
      <c r="Z10" s="38"/>
      <c r="AA10" s="39"/>
      <c r="AB10" s="39"/>
      <c r="AC10" s="40"/>
      <c r="AD10" s="41"/>
      <c r="AE10" s="41"/>
      <c r="AF10" s="41"/>
      <c r="AG10" s="41"/>
      <c r="AH10" s="37" t="n">
        <f aca="false">SUM(AE10,AG10)</f>
        <v>0</v>
      </c>
      <c r="AI10" s="42"/>
      <c r="AJ10" s="43" t="str">
        <f aca="false">IF(AND(S10&gt;=12,Y10&gt;=12,AH10&gt;=6),"да","нет")</f>
        <v>нет</v>
      </c>
      <c r="AK10" s="2"/>
      <c r="AL10" s="2"/>
      <c r="AM10" s="23" t="n">
        <f aca="false">SUM(S10,Y10,AA10,AB10,AH10,AL10,AK10)</f>
        <v>0</v>
      </c>
      <c r="AN10" s="29" t="str">
        <f aca="false">IF(AND(S10&gt;=12,Y10&gt;=12,AH10&gt;=6,AL10&gt;=24,AM10&gt;=60),"Зачет","Незачет")</f>
        <v>Незачет</v>
      </c>
    </row>
    <row r="11" customFormat="false" ht="15.75" hidden="false" customHeight="false" outlineLevel="0" collapsed="false">
      <c r="A11" s="25" t="n">
        <v>9</v>
      </c>
      <c r="B11" s="26" t="s">
        <v>304</v>
      </c>
      <c r="C11" s="27" t="s">
        <v>91</v>
      </c>
      <c r="D11" s="27" t="n">
        <v>466730</v>
      </c>
      <c r="E11" s="28" t="s">
        <v>45</v>
      </c>
      <c r="F11" s="28" t="s">
        <v>45</v>
      </c>
      <c r="G11" s="28" t="s">
        <v>45</v>
      </c>
      <c r="H11" s="28" t="s">
        <v>45</v>
      </c>
      <c r="I11" s="28" t="s">
        <v>45</v>
      </c>
      <c r="J11" s="28" t="s">
        <v>45</v>
      </c>
      <c r="K11" s="28"/>
      <c r="L11" s="28"/>
      <c r="M11" s="29"/>
      <c r="N11" s="29"/>
      <c r="O11" s="29"/>
      <c r="P11" s="30"/>
      <c r="Q11" s="31" t="n">
        <v>6730</v>
      </c>
      <c r="R11" s="39" t="s">
        <v>519</v>
      </c>
      <c r="S11" s="33" t="n">
        <v>19</v>
      </c>
      <c r="T11" s="34"/>
      <c r="U11" s="35" t="n">
        <v>7457</v>
      </c>
      <c r="V11" s="28" t="n">
        <v>9.12</v>
      </c>
      <c r="W11" s="28" t="n">
        <v>9.12</v>
      </c>
      <c r="X11" s="28" t="n">
        <v>9.12</v>
      </c>
      <c r="Y11" s="37" t="n">
        <v>20</v>
      </c>
      <c r="Z11" s="38"/>
      <c r="AA11" s="39"/>
      <c r="AB11" s="39"/>
      <c r="AC11" s="40"/>
      <c r="AD11" s="41" t="n">
        <v>46014</v>
      </c>
      <c r="AE11" s="28" t="n">
        <v>8</v>
      </c>
      <c r="AF11" s="41"/>
      <c r="AG11" s="41"/>
      <c r="AH11" s="37" t="n">
        <f aca="false">SUM(AE11,AG11)</f>
        <v>8</v>
      </c>
      <c r="AI11" s="42"/>
      <c r="AJ11" s="43" t="str">
        <f aca="false">IF(AND(S11&gt;=12,Y11&gt;=12,AH11&gt;=6),"да","нет")</f>
        <v>да</v>
      </c>
      <c r="AK11" s="2"/>
      <c r="AL11" s="2" t="n">
        <v>40</v>
      </c>
      <c r="AM11" s="23" t="n">
        <f aca="false">SUM(S11,Y11,AA11,AB11,AH11,AL11,AK11)</f>
        <v>87</v>
      </c>
      <c r="AN11" s="29" t="str">
        <f aca="false">IF(AND(S11&gt;=12,Y11&gt;=12,AH11&gt;=6,AL11&gt;=24,AM11&gt;=60),"Зачет","Незачет")</f>
        <v>Зачет</v>
      </c>
    </row>
    <row r="12" customFormat="false" ht="15.75" hidden="false" customHeight="false" outlineLevel="0" collapsed="false">
      <c r="A12" s="25" t="n">
        <v>10</v>
      </c>
      <c r="B12" s="26" t="s">
        <v>319</v>
      </c>
      <c r="C12" s="27" t="s">
        <v>91</v>
      </c>
      <c r="D12" s="27" t="n">
        <v>466817</v>
      </c>
      <c r="E12" s="28" t="s">
        <v>45</v>
      </c>
      <c r="F12" s="28" t="s">
        <v>518</v>
      </c>
      <c r="G12" s="28" t="s">
        <v>518</v>
      </c>
      <c r="H12" s="28" t="s">
        <v>518</v>
      </c>
      <c r="I12" s="28" t="s">
        <v>518</v>
      </c>
      <c r="J12" s="28" t="s">
        <v>518</v>
      </c>
      <c r="K12" s="28" t="s">
        <v>45</v>
      </c>
      <c r="L12" s="28"/>
      <c r="M12" s="29"/>
      <c r="N12" s="29"/>
      <c r="O12" s="29"/>
      <c r="P12" s="30"/>
      <c r="Q12" s="31" t="n">
        <v>6817</v>
      </c>
      <c r="R12" s="98" t="n">
        <v>45715</v>
      </c>
      <c r="S12" s="33" t="n">
        <v>16</v>
      </c>
      <c r="T12" s="34"/>
      <c r="U12" s="35" t="n">
        <v>4381</v>
      </c>
      <c r="V12" s="36" t="n">
        <v>45722</v>
      </c>
      <c r="W12" s="36" t="n">
        <v>45722</v>
      </c>
      <c r="X12" s="36" t="n">
        <v>45722</v>
      </c>
      <c r="Y12" s="37" t="n">
        <v>12</v>
      </c>
      <c r="Z12" s="38"/>
      <c r="AA12" s="39"/>
      <c r="AB12" s="39"/>
      <c r="AC12" s="40"/>
      <c r="AD12" s="41" t="n">
        <v>45726</v>
      </c>
      <c r="AE12" s="28" t="n">
        <v>6</v>
      </c>
      <c r="AF12" s="41"/>
      <c r="AG12" s="41"/>
      <c r="AH12" s="37" t="n">
        <f aca="false">SUM(AE12,AG12)</f>
        <v>6</v>
      </c>
      <c r="AI12" s="42"/>
      <c r="AJ12" s="43" t="str">
        <f aca="false">IF(AND(S12&gt;=12,Y12&gt;=12,AH12&gt;=6),"да","нет")</f>
        <v>да</v>
      </c>
      <c r="AK12" s="2"/>
      <c r="AL12" s="2" t="n">
        <v>27</v>
      </c>
      <c r="AM12" s="23" t="n">
        <f aca="false">SUM(S12,Y12,AA12,AB12,AH12,AL12,AK12)</f>
        <v>61</v>
      </c>
      <c r="AN12" s="29" t="str">
        <f aca="false">IF(AND(S12&gt;=12,Y12&gt;=12,AH12&gt;=6,AL12&gt;=24,AM12&gt;=60),"Зачет","Незачет")</f>
        <v>Зачет</v>
      </c>
    </row>
    <row r="13" customFormat="false" ht="15.75" hidden="false" customHeight="false" outlineLevel="0" collapsed="false">
      <c r="A13" s="25" t="n">
        <v>11</v>
      </c>
      <c r="B13" s="45" t="s">
        <v>323</v>
      </c>
      <c r="C13" s="27" t="s">
        <v>91</v>
      </c>
      <c r="D13" s="27" t="n">
        <v>419310</v>
      </c>
      <c r="E13" s="28" t="s">
        <v>45</v>
      </c>
      <c r="F13" s="28" t="s">
        <v>518</v>
      </c>
      <c r="G13" s="28" t="s">
        <v>45</v>
      </c>
      <c r="H13" s="28" t="s">
        <v>45</v>
      </c>
      <c r="I13" s="28" t="s">
        <v>45</v>
      </c>
      <c r="J13" s="28" t="s">
        <v>45</v>
      </c>
      <c r="K13" s="28"/>
      <c r="L13" s="28"/>
      <c r="M13" s="29"/>
      <c r="N13" s="29"/>
      <c r="O13" s="29"/>
      <c r="P13" s="30"/>
      <c r="Q13" s="31" t="n">
        <v>9310</v>
      </c>
      <c r="R13" s="39" t="s">
        <v>519</v>
      </c>
      <c r="S13" s="33" t="n">
        <v>16</v>
      </c>
      <c r="T13" s="34"/>
      <c r="U13" s="35" t="n">
        <v>7548</v>
      </c>
      <c r="V13" s="36" t="n">
        <v>46010</v>
      </c>
      <c r="W13" s="36" t="n">
        <v>46010</v>
      </c>
      <c r="X13" s="36" t="n">
        <v>46010</v>
      </c>
      <c r="Y13" s="37" t="n">
        <v>12</v>
      </c>
      <c r="Z13" s="38"/>
      <c r="AA13" s="39"/>
      <c r="AB13" s="39"/>
      <c r="AC13" s="40"/>
      <c r="AD13" s="41" t="n">
        <v>45675</v>
      </c>
      <c r="AE13" s="28" t="n">
        <v>6</v>
      </c>
      <c r="AF13" s="41"/>
      <c r="AG13" s="41"/>
      <c r="AH13" s="37" t="n">
        <f aca="false">SUM(AE13,AG13)</f>
        <v>6</v>
      </c>
      <c r="AI13" s="42"/>
      <c r="AJ13" s="43" t="str">
        <f aca="false">IF(AND(S13&gt;=12,Y13&gt;=12,AH13&gt;=6),"да","нет")</f>
        <v>да</v>
      </c>
      <c r="AK13" s="2"/>
      <c r="AL13" s="2" t="n">
        <v>40</v>
      </c>
      <c r="AM13" s="23" t="n">
        <f aca="false">SUM(S13,Y13,AA13,AB13,AH13,AL13,AK13)</f>
        <v>74</v>
      </c>
      <c r="AN13" s="29" t="str">
        <f aca="false">IF(AND(S13&gt;=12,Y13&gt;=12,AH13&gt;=6,AL13&gt;=24,AM13&gt;=60),"Зачет","Незачет")</f>
        <v>Зачет</v>
      </c>
    </row>
    <row r="14" customFormat="false" ht="15.75" hidden="false" customHeight="false" outlineLevel="0" collapsed="false">
      <c r="A14" s="25" t="n">
        <v>12</v>
      </c>
      <c r="B14" s="26" t="s">
        <v>357</v>
      </c>
      <c r="C14" s="27" t="s">
        <v>91</v>
      </c>
      <c r="D14" s="27" t="n">
        <v>409364</v>
      </c>
      <c r="E14" s="28" t="s">
        <v>45</v>
      </c>
      <c r="F14" s="28" t="s">
        <v>518</v>
      </c>
      <c r="G14" s="28" t="s">
        <v>518</v>
      </c>
      <c r="H14" s="28" t="s">
        <v>518</v>
      </c>
      <c r="I14" s="28" t="s">
        <v>45</v>
      </c>
      <c r="J14" s="28"/>
      <c r="K14" s="28"/>
      <c r="L14" s="28"/>
      <c r="M14" s="29"/>
      <c r="N14" s="29"/>
      <c r="O14" s="29"/>
      <c r="P14" s="30"/>
      <c r="Q14" s="31" t="n">
        <v>9364</v>
      </c>
      <c r="R14" s="39" t="s">
        <v>519</v>
      </c>
      <c r="S14" s="33" t="n">
        <v>16</v>
      </c>
      <c r="T14" s="34"/>
      <c r="U14" s="35" t="n">
        <v>6347</v>
      </c>
      <c r="V14" s="36" t="n">
        <v>45673</v>
      </c>
      <c r="W14" s="36" t="n">
        <v>45673</v>
      </c>
      <c r="X14" s="77" t="n">
        <v>45673</v>
      </c>
      <c r="Y14" s="37" t="n">
        <v>15</v>
      </c>
      <c r="Z14" s="38"/>
      <c r="AA14" s="39"/>
      <c r="AB14" s="39"/>
      <c r="AC14" s="40"/>
      <c r="AD14" s="41" t="n">
        <v>45675</v>
      </c>
      <c r="AE14" s="28" t="n">
        <v>6</v>
      </c>
      <c r="AF14" s="41"/>
      <c r="AG14" s="41"/>
      <c r="AH14" s="37" t="n">
        <f aca="false">SUM(AE14,AG14)</f>
        <v>6</v>
      </c>
      <c r="AI14" s="42"/>
      <c r="AJ14" s="43" t="str">
        <f aca="false">IF(AND(S14&gt;=12,Y14&gt;=12,AH14&gt;=6),"да","нет")</f>
        <v>да</v>
      </c>
      <c r="AK14" s="2"/>
      <c r="AL14" s="2" t="n">
        <v>30</v>
      </c>
      <c r="AM14" s="23" t="n">
        <f aca="false">SUM(S14,Y14,AA14,AB14,AH14,AL14,AK14)</f>
        <v>67</v>
      </c>
      <c r="AN14" s="29" t="str">
        <f aca="false">IF(AND(S14&gt;=12,Y14&gt;=12,AH14&gt;=6,AL14&gt;=24,AM14&gt;=60),"Зачет","Незачет")</f>
        <v>Зачет</v>
      </c>
    </row>
    <row r="15" customFormat="false" ht="15.75" hidden="false" customHeight="false" outlineLevel="0" collapsed="false">
      <c r="A15" s="25" t="n">
        <v>13</v>
      </c>
      <c r="B15" s="26" t="s">
        <v>387</v>
      </c>
      <c r="C15" s="27" t="s">
        <v>91</v>
      </c>
      <c r="D15" s="27" t="n">
        <v>467306</v>
      </c>
      <c r="E15" s="28" t="s">
        <v>45</v>
      </c>
      <c r="F15" s="28" t="s">
        <v>45</v>
      </c>
      <c r="G15" s="28" t="s">
        <v>45</v>
      </c>
      <c r="H15" s="28" t="s">
        <v>45</v>
      </c>
      <c r="I15" s="28" t="s">
        <v>45</v>
      </c>
      <c r="J15" s="28" t="s">
        <v>45</v>
      </c>
      <c r="K15" s="28"/>
      <c r="L15" s="28"/>
      <c r="M15" s="29"/>
      <c r="N15" s="29"/>
      <c r="O15" s="29"/>
      <c r="P15" s="30"/>
      <c r="Q15" s="31" t="n">
        <v>7306</v>
      </c>
      <c r="R15" s="39" t="s">
        <v>519</v>
      </c>
      <c r="S15" s="33" t="n">
        <v>17</v>
      </c>
      <c r="T15" s="34"/>
      <c r="U15" s="35" t="n">
        <v>7823</v>
      </c>
      <c r="V15" s="28" t="n">
        <v>9.12</v>
      </c>
      <c r="W15" s="28" t="n">
        <v>9.12</v>
      </c>
      <c r="X15" s="28" t="n">
        <v>9.12</v>
      </c>
      <c r="Y15" s="37" t="n">
        <v>19</v>
      </c>
      <c r="Z15" s="38"/>
      <c r="AA15" s="39"/>
      <c r="AB15" s="39"/>
      <c r="AC15" s="40"/>
      <c r="AD15" s="41" t="n">
        <v>46014</v>
      </c>
      <c r="AE15" s="28" t="n">
        <v>9</v>
      </c>
      <c r="AF15" s="41"/>
      <c r="AG15" s="41"/>
      <c r="AH15" s="37" t="n">
        <f aca="false">SUM(AE15,AG15)</f>
        <v>9</v>
      </c>
      <c r="AI15" s="42"/>
      <c r="AJ15" s="43" t="str">
        <f aca="false">IF(AND(S15&gt;=12,Y15&gt;=12,AH15&gt;=6),"да","нет")</f>
        <v>да</v>
      </c>
      <c r="AK15" s="2"/>
      <c r="AL15" s="37" t="n">
        <v>40</v>
      </c>
      <c r="AM15" s="23" t="n">
        <f aca="false">SUM(S15,Y15,AA15,AB15,AH15,AL15,AK15)</f>
        <v>85</v>
      </c>
      <c r="AN15" s="29" t="str">
        <f aca="false">IF(AND(S15&gt;=12,Y15&gt;=12,AH15&gt;=6,AL15&gt;=24,AM15&gt;=60),"Зачет","Незачет")</f>
        <v>Зачет</v>
      </c>
    </row>
    <row r="16" customFormat="false" ht="15.75" hidden="false" customHeight="false" outlineLevel="0" collapsed="false">
      <c r="A16" s="25" t="n">
        <v>14</v>
      </c>
      <c r="B16" s="26" t="s">
        <v>413</v>
      </c>
      <c r="C16" s="27" t="s">
        <v>91</v>
      </c>
      <c r="D16" s="27" t="n">
        <v>467484</v>
      </c>
      <c r="E16" s="28" t="s">
        <v>45</v>
      </c>
      <c r="F16" s="28" t="s">
        <v>518</v>
      </c>
      <c r="G16" s="28"/>
      <c r="H16" s="28"/>
      <c r="I16" s="28"/>
      <c r="J16" s="28"/>
      <c r="K16" s="28"/>
      <c r="L16" s="28"/>
      <c r="M16" s="29"/>
      <c r="N16" s="29"/>
      <c r="O16" s="29"/>
      <c r="P16" s="30"/>
      <c r="Q16" s="31" t="n">
        <v>7484</v>
      </c>
      <c r="R16" s="32"/>
      <c r="S16" s="33"/>
      <c r="T16" s="34"/>
      <c r="U16" s="35"/>
      <c r="V16" s="36"/>
      <c r="W16" s="36"/>
      <c r="X16" s="36"/>
      <c r="Y16" s="37"/>
      <c r="Z16" s="38"/>
      <c r="AA16" s="39"/>
      <c r="AB16" s="39"/>
      <c r="AC16" s="40"/>
      <c r="AD16" s="41"/>
      <c r="AE16" s="41"/>
      <c r="AF16" s="41"/>
      <c r="AG16" s="41"/>
      <c r="AH16" s="37" t="n">
        <f aca="false">SUM(AE16,AG16)</f>
        <v>0</v>
      </c>
      <c r="AI16" s="42"/>
      <c r="AJ16" s="43" t="str">
        <f aca="false">IF(AND(S16&gt;=12,Y16&gt;=12,AH16&gt;=6),"да","нет")</f>
        <v>нет</v>
      </c>
      <c r="AK16" s="2"/>
      <c r="AL16" s="2"/>
      <c r="AM16" s="23" t="n">
        <f aca="false">SUM(S16,Y16,AA16,AB16,AH16,AL16,AK16)</f>
        <v>0</v>
      </c>
      <c r="AN16" s="29" t="str">
        <f aca="false">IF(AND(S16&gt;=12,Y16&gt;=12,AH16&gt;=6,AL16&gt;=24,AM16&gt;=60),"Зачет","Незачет")</f>
        <v>Незачет</v>
      </c>
    </row>
    <row r="17" customFormat="false" ht="15.75" hidden="false" customHeight="false" outlineLevel="0" collapsed="false">
      <c r="A17" s="25" t="n">
        <v>15</v>
      </c>
      <c r="B17" s="26" t="s">
        <v>452</v>
      </c>
      <c r="C17" s="27" t="s">
        <v>91</v>
      </c>
      <c r="D17" s="27" t="n">
        <v>467727</v>
      </c>
      <c r="E17" s="28" t="s">
        <v>45</v>
      </c>
      <c r="F17" s="28" t="s">
        <v>45</v>
      </c>
      <c r="G17" s="28" t="s">
        <v>45</v>
      </c>
      <c r="H17" s="28" t="s">
        <v>45</v>
      </c>
      <c r="I17" s="28" t="s">
        <v>45</v>
      </c>
      <c r="J17" s="28"/>
      <c r="K17" s="28"/>
      <c r="L17" s="28"/>
      <c r="M17" s="29"/>
      <c r="N17" s="29"/>
      <c r="O17" s="29"/>
      <c r="P17" s="30"/>
      <c r="Q17" s="31" t="n">
        <v>7727</v>
      </c>
      <c r="R17" s="39" t="s">
        <v>519</v>
      </c>
      <c r="S17" s="33" t="n">
        <v>18</v>
      </c>
      <c r="T17" s="34"/>
      <c r="U17" s="35" t="n">
        <v>7648</v>
      </c>
      <c r="V17" s="36" t="n">
        <v>45621</v>
      </c>
      <c r="W17" s="41" t="n">
        <v>45621</v>
      </c>
      <c r="X17" s="28" t="n">
        <v>25.11</v>
      </c>
      <c r="Y17" s="37" t="n">
        <v>20</v>
      </c>
      <c r="Z17" s="38"/>
      <c r="AA17" s="39"/>
      <c r="AB17" s="39"/>
      <c r="AC17" s="44"/>
      <c r="AD17" s="36" t="n">
        <v>46014</v>
      </c>
      <c r="AE17" s="28" t="n">
        <v>10</v>
      </c>
      <c r="AF17" s="36"/>
      <c r="AG17" s="36"/>
      <c r="AH17" s="37" t="n">
        <f aca="false">SUM(AE17,AG17)</f>
        <v>10</v>
      </c>
      <c r="AI17" s="42"/>
      <c r="AJ17" s="43" t="str">
        <f aca="false">IF(AND(S17&gt;=12,Y17&gt;=12,AH17&gt;=6),"да","нет")</f>
        <v>да</v>
      </c>
      <c r="AK17" s="2" t="n">
        <v>3</v>
      </c>
      <c r="AL17" s="2" t="n">
        <v>40</v>
      </c>
      <c r="AM17" s="23" t="n">
        <f aca="false">SUM(S17,Y17,AA17,AB17,AH17,AL17,AK17)</f>
        <v>91</v>
      </c>
      <c r="AN17" s="29" t="str">
        <f aca="false">IF(AND(S17&gt;=12,Y17&gt;=12,AH17&gt;=6,AL17&gt;=24,AM17&gt;=60),"Зачет","Незачет")</f>
        <v>Зачет</v>
      </c>
    </row>
    <row r="18" customFormat="false" ht="15.75" hidden="false" customHeight="false" outlineLevel="0" collapsed="false">
      <c r="A18" s="25" t="n">
        <v>16</v>
      </c>
      <c r="B18" s="26" t="s">
        <v>500</v>
      </c>
      <c r="C18" s="27" t="s">
        <v>91</v>
      </c>
      <c r="D18" s="27" t="n">
        <v>468133</v>
      </c>
      <c r="E18" s="28" t="s">
        <v>45</v>
      </c>
      <c r="F18" s="28" t="s">
        <v>518</v>
      </c>
      <c r="G18" s="28"/>
      <c r="H18" s="28"/>
      <c r="I18" s="28"/>
      <c r="J18" s="28" t="s">
        <v>45</v>
      </c>
      <c r="K18" s="28"/>
      <c r="L18" s="28"/>
      <c r="M18" s="29"/>
      <c r="N18" s="29"/>
      <c r="O18" s="29"/>
      <c r="P18" s="30"/>
      <c r="Q18" s="31" t="n">
        <v>8133</v>
      </c>
      <c r="R18" s="39" t="n">
        <v>9.12</v>
      </c>
      <c r="S18" s="33" t="n">
        <v>20</v>
      </c>
      <c r="T18" s="34"/>
      <c r="U18" s="35" t="n">
        <v>3288</v>
      </c>
      <c r="V18" s="36" t="n">
        <v>45645</v>
      </c>
      <c r="W18" s="36" t="n">
        <v>45645</v>
      </c>
      <c r="X18" s="36" t="n">
        <v>45645</v>
      </c>
      <c r="Y18" s="37" t="n">
        <v>19</v>
      </c>
      <c r="Z18" s="38"/>
      <c r="AA18" s="39"/>
      <c r="AB18" s="39"/>
      <c r="AC18" s="40"/>
      <c r="AD18" s="41" t="n">
        <v>45706</v>
      </c>
      <c r="AE18" s="28" t="n">
        <v>6</v>
      </c>
      <c r="AF18" s="41"/>
      <c r="AG18" s="41"/>
      <c r="AH18" s="37" t="n">
        <f aca="false">SUM(AE18,AG18)</f>
        <v>6</v>
      </c>
      <c r="AI18" s="42"/>
      <c r="AJ18" s="43" t="str">
        <f aca="false">IF(AND(S18&gt;=12,Y18&gt;=12,AH18&gt;=6),"да","нет")</f>
        <v>да</v>
      </c>
      <c r="AK18" s="2"/>
      <c r="AL18" s="2" t="n">
        <v>24</v>
      </c>
      <c r="AM18" s="23" t="n">
        <f aca="false">SUM(S18,Y18,AA18,AB18,AH18,AL18,AK18)</f>
        <v>69</v>
      </c>
      <c r="AN18" s="29" t="str">
        <f aca="false">IF(AND(S18&gt;=12,Y18&gt;=12,AH18&gt;=6,AL18&gt;=24,AM18&gt;=60),"Зачет","Незачет")</f>
        <v>Зачет</v>
      </c>
    </row>
    <row r="19" customFormat="false" ht="15.75" hidden="false" customHeight="false" outlineLevel="0" collapsed="false">
      <c r="A19" s="25" t="n">
        <v>17</v>
      </c>
      <c r="B19" s="26" t="s">
        <v>176</v>
      </c>
      <c r="C19" s="27" t="s">
        <v>91</v>
      </c>
      <c r="D19" s="27" t="n">
        <v>465746</v>
      </c>
      <c r="E19" s="28" t="s">
        <v>45</v>
      </c>
      <c r="F19" s="28" t="s">
        <v>45</v>
      </c>
      <c r="G19" s="28" t="s">
        <v>518</v>
      </c>
      <c r="H19" s="28" t="s">
        <v>518</v>
      </c>
      <c r="I19" s="28" t="s">
        <v>45</v>
      </c>
      <c r="J19" s="28"/>
      <c r="K19" s="28"/>
      <c r="L19" s="28"/>
      <c r="M19" s="29"/>
      <c r="N19" s="29"/>
      <c r="O19" s="29"/>
      <c r="P19" s="30"/>
      <c r="Q19" s="31" t="n">
        <v>5746</v>
      </c>
      <c r="R19" s="39" t="s">
        <v>519</v>
      </c>
      <c r="S19" s="33" t="n">
        <v>15</v>
      </c>
      <c r="T19" s="34"/>
      <c r="U19" s="35" t="n">
        <v>3579</v>
      </c>
      <c r="V19" s="36"/>
      <c r="W19" s="36"/>
      <c r="X19" s="28" t="s">
        <v>519</v>
      </c>
      <c r="Y19" s="37" t="n">
        <v>12</v>
      </c>
      <c r="Z19" s="38"/>
      <c r="AA19" s="39"/>
      <c r="AB19" s="39"/>
      <c r="AC19" s="40"/>
      <c r="AD19" s="41" t="n">
        <v>45675</v>
      </c>
      <c r="AE19" s="28" t="n">
        <v>6</v>
      </c>
      <c r="AF19" s="41"/>
      <c r="AG19" s="41"/>
      <c r="AH19" s="37" t="n">
        <f aca="false">SUM(AE19,AG19)</f>
        <v>6</v>
      </c>
      <c r="AI19" s="42"/>
      <c r="AJ19" s="43" t="s">
        <v>534</v>
      </c>
      <c r="AK19" s="2"/>
      <c r="AL19" s="2" t="n">
        <v>28</v>
      </c>
      <c r="AM19" s="23" t="n">
        <f aca="false">SUM(S19,Y19,AA19,AB19,AH19,AL19,AK19)</f>
        <v>61</v>
      </c>
      <c r="AN19" s="29" t="str">
        <f aca="false">IF(AND(S19&gt;=12,Y19&gt;=12,AH19&gt;=6,AL19&gt;=24,AM19&gt;=60),"Зачет","Незачет")</f>
        <v>Зачет</v>
      </c>
    </row>
    <row r="20" customFormat="false" ht="15.75" hidden="false" customHeight="false" outlineLevel="0" collapsed="false">
      <c r="A20" s="25" t="n">
        <v>18</v>
      </c>
      <c r="B20" s="26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9"/>
      <c r="N20" s="29"/>
      <c r="O20" s="29"/>
      <c r="P20" s="30"/>
      <c r="Q20" s="46"/>
      <c r="R20" s="36"/>
      <c r="S20" s="37"/>
      <c r="T20" s="47"/>
      <c r="U20" s="2"/>
      <c r="V20" s="36"/>
      <c r="W20" s="36"/>
      <c r="X20" s="36"/>
      <c r="Y20" s="37"/>
      <c r="Z20" s="38"/>
      <c r="AA20" s="39"/>
      <c r="AB20" s="39"/>
      <c r="AC20" s="48"/>
      <c r="AD20" s="28"/>
      <c r="AE20" s="28"/>
      <c r="AF20" s="28"/>
      <c r="AG20" s="28"/>
      <c r="AH20" s="37" t="n">
        <f aca="false">SUM(AE20,AG20)</f>
        <v>0</v>
      </c>
      <c r="AI20" s="42"/>
      <c r="AJ20" s="43" t="str">
        <f aca="false">IF(AND(S20&gt;=12,Y20&gt;=12,AH20&gt;=6),"да","нет")</f>
        <v>нет</v>
      </c>
      <c r="AK20" s="2"/>
      <c r="AL20" s="2"/>
      <c r="AM20" s="23" t="n">
        <f aca="false">SUM(S20,Y20,AA20,AB20,AH20,AL20,AK20)</f>
        <v>0</v>
      </c>
      <c r="AN20" s="29" t="str">
        <f aca="false">IF(AND(S20&gt;=12,Y20&gt;=12,AH20&gt;=6,AL20&gt;=24,AM20&gt;=60),"Зачет","Незачет")</f>
        <v>Незачет</v>
      </c>
    </row>
    <row r="21" customFormat="false" ht="15.75" hidden="false" customHeight="false" outlineLevel="0" collapsed="false">
      <c r="A21" s="25" t="n">
        <v>19</v>
      </c>
      <c r="B21" s="49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9"/>
      <c r="N21" s="29"/>
      <c r="O21" s="29"/>
      <c r="P21" s="30"/>
      <c r="Q21" s="50"/>
      <c r="R21" s="36"/>
      <c r="S21" s="37"/>
      <c r="T21" s="47"/>
      <c r="U21" s="2"/>
      <c r="V21" s="36"/>
      <c r="W21" s="36"/>
      <c r="X21" s="36"/>
      <c r="Y21" s="37"/>
      <c r="Z21" s="38"/>
      <c r="AA21" s="39"/>
      <c r="AB21" s="39"/>
      <c r="AC21" s="48"/>
      <c r="AD21" s="28"/>
      <c r="AE21" s="28"/>
      <c r="AF21" s="28"/>
      <c r="AG21" s="28"/>
      <c r="AH21" s="37" t="n">
        <f aca="false">SUM(AE21,AG21)</f>
        <v>0</v>
      </c>
      <c r="AI21" s="42"/>
      <c r="AJ21" s="43" t="str">
        <f aca="false">IF(AND(S21&gt;=12,Y21&gt;=12,AH21&gt;=6),"да","нет")</f>
        <v>нет</v>
      </c>
      <c r="AK21" s="2"/>
      <c r="AL21" s="2"/>
      <c r="AM21" s="23" t="n">
        <f aca="false">SUM(S21,Y21,AA21,AB21,AH21,AL21,AK21)</f>
        <v>0</v>
      </c>
      <c r="AN21" s="29" t="str">
        <f aca="false">IF(AND(S21&gt;=12,Y21&gt;=12,AH21&gt;=6,AL21&gt;=24,AM21&gt;=60),"Зачет","Незачет")</f>
        <v>Незачет</v>
      </c>
    </row>
    <row r="22" customFormat="false" ht="15.75" hidden="false" customHeight="false" outlineLevel="0" collapsed="false">
      <c r="A22" s="25" t="n">
        <v>20</v>
      </c>
      <c r="B22" s="49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9"/>
      <c r="N22" s="29"/>
      <c r="O22" s="29"/>
      <c r="P22" s="30"/>
      <c r="Q22" s="50"/>
      <c r="R22" s="36"/>
      <c r="S22" s="37"/>
      <c r="T22" s="47"/>
      <c r="U22" s="2"/>
      <c r="V22" s="36"/>
      <c r="W22" s="36"/>
      <c r="X22" s="36"/>
      <c r="Y22" s="37"/>
      <c r="Z22" s="38"/>
      <c r="AA22" s="39"/>
      <c r="AB22" s="39"/>
      <c r="AC22" s="48"/>
      <c r="AD22" s="28"/>
      <c r="AE22" s="28"/>
      <c r="AF22" s="28"/>
      <c r="AG22" s="28"/>
      <c r="AH22" s="37" t="n">
        <f aca="false">SUM(AE22,AG22)</f>
        <v>0</v>
      </c>
      <c r="AI22" s="42"/>
      <c r="AJ22" s="43" t="str">
        <f aca="false">IF(AND(S22&gt;=12,Y22&gt;=12,AH22&gt;=6),"да","нет")</f>
        <v>нет</v>
      </c>
      <c r="AK22" s="2"/>
      <c r="AL22" s="2"/>
      <c r="AM22" s="23" t="n">
        <f aca="false">SUM(S22,Y22,AA22,AB22,AH22,AL22,AK22)</f>
        <v>0</v>
      </c>
      <c r="AN22" s="29" t="str">
        <f aca="false">IF(AND(S22&gt;=12,Y22&gt;=12,AH22&gt;=6,AL22&gt;=24,AM22&gt;=60),"Зачет","Незачет")</f>
        <v>Незачет</v>
      </c>
    </row>
    <row r="23" customFormat="false" ht="15.75" hidden="false" customHeight="false" outlineLevel="0" collapsed="false">
      <c r="A23" s="25"/>
      <c r="B23" s="49"/>
      <c r="C23" s="51"/>
      <c r="D23" s="51"/>
      <c r="E23" s="28"/>
      <c r="F23" s="28"/>
      <c r="G23" s="28"/>
      <c r="H23" s="28"/>
      <c r="I23" s="28"/>
      <c r="J23" s="28"/>
      <c r="K23" s="28"/>
      <c r="L23" s="28"/>
      <c r="M23" s="29"/>
      <c r="N23" s="29"/>
      <c r="O23" s="29"/>
      <c r="P23" s="30"/>
      <c r="Q23" s="50"/>
      <c r="R23" s="36"/>
      <c r="S23" s="37"/>
      <c r="T23" s="47"/>
      <c r="U23" s="2"/>
      <c r="V23" s="36"/>
      <c r="W23" s="36"/>
      <c r="X23" s="36"/>
      <c r="Y23" s="37"/>
      <c r="Z23" s="38"/>
      <c r="AA23" s="39"/>
      <c r="AB23" s="39"/>
      <c r="AC23" s="48"/>
      <c r="AD23" s="28"/>
      <c r="AE23" s="28"/>
      <c r="AF23" s="28"/>
      <c r="AG23" s="28"/>
      <c r="AH23" s="28"/>
      <c r="AI23" s="42"/>
      <c r="AJ23" s="43"/>
      <c r="AK23" s="2"/>
      <c r="AL23" s="2"/>
      <c r="AM23" s="23"/>
      <c r="AN23" s="52"/>
    </row>
    <row r="24" customFormat="false" ht="1.5" hidden="false" customHeight="tru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53"/>
      <c r="AJ24" s="47"/>
      <c r="AK24" s="47"/>
      <c r="AL24" s="47"/>
      <c r="AM24" s="47"/>
      <c r="AN24" s="47"/>
    </row>
    <row r="25" customFormat="false" ht="15.75" hidden="false" customHeight="false" outlineLevel="0" collapsed="false">
      <c r="A25" s="2"/>
      <c r="B25" s="2" t="s">
        <v>26</v>
      </c>
      <c r="C25" s="2"/>
      <c r="D25" s="2"/>
      <c r="E25" s="37" t="n">
        <f aca="false">COUNTIF(E$3:E$23, "~**")</f>
        <v>0</v>
      </c>
      <c r="F25" s="37" t="n">
        <f aca="false">COUNTIF(F$3:F$23, "~**")</f>
        <v>0</v>
      </c>
      <c r="G25" s="37" t="n">
        <f aca="false">COUNTIF(G$3:G$23, "~**")</f>
        <v>0</v>
      </c>
      <c r="H25" s="37" t="n">
        <f aca="false">COUNTIF(H$3:H$23, "~**")</f>
        <v>0</v>
      </c>
      <c r="I25" s="37" t="n">
        <f aca="false">COUNTIF(I$3:I$23, "~**")</f>
        <v>0</v>
      </c>
      <c r="J25" s="37" t="n">
        <f aca="false">COUNTIF(J$3:J$23, "~**")</f>
        <v>0</v>
      </c>
      <c r="K25" s="37" t="n">
        <f aca="false">COUNTIF(K$3:K$23, "~**")</f>
        <v>0</v>
      </c>
      <c r="L25" s="37" t="n">
        <f aca="false">COUNTIF(L$3:L$23, "~**")</f>
        <v>0</v>
      </c>
      <c r="M25" s="54" t="n">
        <f aca="false">COUNTIF(M$3:M$23, "~**")</f>
        <v>0</v>
      </c>
      <c r="N25" s="54" t="n">
        <f aca="false">COUNTIF(N$3:N$23, "~**")</f>
        <v>0</v>
      </c>
      <c r="O25" s="54" t="n">
        <f aca="false">COUNTIF(O$3:O$23, "~**")</f>
        <v>0</v>
      </c>
      <c r="P25" s="55"/>
      <c r="Q25" s="2" t="s">
        <v>27</v>
      </c>
      <c r="R25" s="2"/>
      <c r="S25" s="37" t="n">
        <f aca="false">S26*0.6</f>
        <v>12</v>
      </c>
      <c r="T25" s="55"/>
      <c r="U25" s="37"/>
      <c r="V25" s="37"/>
      <c r="W25" s="37"/>
      <c r="X25" s="37"/>
      <c r="Y25" s="37" t="n">
        <f aca="false">Y26*0.6</f>
        <v>12</v>
      </c>
      <c r="Z25" s="56"/>
      <c r="AA25" s="37" t="n">
        <v>0</v>
      </c>
      <c r="AB25" s="37" t="n">
        <v>0</v>
      </c>
      <c r="AC25" s="57"/>
      <c r="AE25" s="2" t="n">
        <v>3</v>
      </c>
      <c r="AG25" s="2" t="n">
        <v>3</v>
      </c>
      <c r="AH25" s="37" t="n">
        <v>6</v>
      </c>
      <c r="AI25" s="58"/>
      <c r="AJ25" s="59"/>
      <c r="AK25" s="37" t="n">
        <v>0</v>
      </c>
      <c r="AL25" s="37" t="n">
        <v>24</v>
      </c>
      <c r="AM25" s="19" t="n">
        <f aca="false">S25+Y25+AA25+AB25+AH25+AL25</f>
        <v>54</v>
      </c>
      <c r="AN25" s="60"/>
    </row>
    <row r="26" customFormat="false" ht="15.75" hidden="false" customHeight="false" outlineLevel="0" collapsed="false">
      <c r="A26" s="2"/>
      <c r="B26" s="2" t="s">
        <v>28</v>
      </c>
      <c r="C26" s="2"/>
      <c r="D26" s="2"/>
      <c r="E26" s="37" t="n">
        <f aca="false">COUNTIF(E$3:E$23, "~**")+COUNTIF(E$3:E$23, "Y")</f>
        <v>17</v>
      </c>
      <c r="F26" s="37" t="n">
        <f aca="false">COUNTIF(F$3:F$23, "~**")+COUNTIF(F$3:F$23, "Y")</f>
        <v>9</v>
      </c>
      <c r="G26" s="37" t="n">
        <f aca="false">COUNTIF(G$3:G$23, "~**")+COUNTIF(G$3:G$23, "Y")</f>
        <v>9</v>
      </c>
      <c r="H26" s="37" t="n">
        <f aca="false">COUNTIF(H$3:H$23, "~**")+COUNTIF(H$3:H$23, "Y")</f>
        <v>10</v>
      </c>
      <c r="I26" s="37" t="n">
        <f aca="false">COUNTIF(I$3:I$23, "~**")+COUNTIF(I$3:I$23, "Y")</f>
        <v>9</v>
      </c>
      <c r="J26" s="37" t="n">
        <f aca="false">COUNTIF(J$3:J$23, "~**")+COUNTIF(J$3:J$23, "Y")</f>
        <v>8</v>
      </c>
      <c r="K26" s="37" t="n">
        <f aca="false">COUNTIF(K$3:K$23, "~**")+COUNTIF(K$3:K$23, "Y")</f>
        <v>1</v>
      </c>
      <c r="L26" s="37" t="n">
        <f aca="false">COUNTIF(L$3:L$23, "~**")+COUNTIF(L$3:L$23, "Y")</f>
        <v>0</v>
      </c>
      <c r="M26" s="54" t="n">
        <f aca="false">COUNTIF(M$3:M$23, "~**")+COUNTIF(M$3:M$23, "Y")</f>
        <v>0</v>
      </c>
      <c r="N26" s="54" t="n">
        <f aca="false">COUNTIF(N$3:N$23, "~**")+COUNTIF(N$3:N$23, "Y")</f>
        <v>0</v>
      </c>
      <c r="O26" s="54" t="n">
        <f aca="false">COUNTIF(O$3:O$23, "~**")+COUNTIF(O$3:O$23, "Y")</f>
        <v>0</v>
      </c>
      <c r="P26" s="55"/>
      <c r="Q26" s="2" t="s">
        <v>29</v>
      </c>
      <c r="R26" s="2"/>
      <c r="S26" s="37" t="n">
        <v>20</v>
      </c>
      <c r="T26" s="55"/>
      <c r="U26" s="37"/>
      <c r="V26" s="37"/>
      <c r="W26" s="37"/>
      <c r="X26" s="37"/>
      <c r="Y26" s="37" t="n">
        <v>20</v>
      </c>
      <c r="Z26" s="56"/>
      <c r="AA26" s="37" t="n">
        <v>5</v>
      </c>
      <c r="AB26" s="37" t="n">
        <v>5</v>
      </c>
      <c r="AC26" s="57"/>
      <c r="AE26" s="2" t="n">
        <v>5</v>
      </c>
      <c r="AG26" s="2" t="n">
        <v>5</v>
      </c>
      <c r="AH26" s="37" t="n">
        <v>10</v>
      </c>
      <c r="AI26" s="58"/>
      <c r="AJ26" s="59"/>
      <c r="AK26" s="37" t="n">
        <v>3</v>
      </c>
      <c r="AL26" s="37" t="n">
        <v>40</v>
      </c>
      <c r="AM26" s="19" t="n">
        <f aca="false">SUM(S26,Y26,AA26:AB26,AH26,AK26:AL26,)</f>
        <v>103</v>
      </c>
      <c r="AN26" s="60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47"/>
      <c r="Q27" s="2"/>
      <c r="R27" s="2"/>
      <c r="S27" s="61"/>
      <c r="T27" s="62"/>
      <c r="U27" s="61"/>
      <c r="V27" s="61"/>
      <c r="W27" s="61"/>
      <c r="X27" s="61"/>
      <c r="Y27" s="61"/>
      <c r="Z27" s="63"/>
      <c r="AA27" s="2"/>
      <c r="AB27" s="2"/>
      <c r="AC27" s="57"/>
      <c r="AH27" s="61"/>
      <c r="AI27" s="64"/>
      <c r="AJ27" s="65"/>
      <c r="AK27" s="2"/>
      <c r="AL27" s="2"/>
      <c r="AM27" s="66"/>
      <c r="AN27" s="2"/>
    </row>
    <row r="28" customFormat="false" ht="15.75" hidden="false" customHeight="false" outlineLevel="0" collapsed="false">
      <c r="A28" s="2"/>
      <c r="B28" s="2"/>
      <c r="C28" s="2"/>
      <c r="D28" s="2"/>
      <c r="E28" s="2" t="s">
        <v>30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7"/>
      <c r="Q28" s="2" t="s">
        <v>31</v>
      </c>
      <c r="R28" s="2"/>
      <c r="S28" s="61" t="n">
        <f aca="false">IFERROR(COUNTA(S$3:S23)/COUNTA($B$3:$B$23), 0)</f>
        <v>0.8823529412</v>
      </c>
      <c r="T28" s="62"/>
      <c r="U28" s="61"/>
      <c r="V28" s="61"/>
      <c r="W28" s="61"/>
      <c r="X28" s="61"/>
      <c r="Y28" s="61" t="n">
        <f aca="false">IFERROR(COUNTA(Y$3:Y23)/COUNTA($B$3:$B$23), 0)</f>
        <v>0.8823529412</v>
      </c>
      <c r="Z28" s="63"/>
      <c r="AA28" s="2"/>
      <c r="AB28" s="2"/>
      <c r="AC28" s="57"/>
      <c r="AE28" s="61" t="n">
        <f aca="false">IFERROR(COUNTIF(AE$3:AE23, "&gt;0")/COUNTA($B$3:$B$22), 0)</f>
        <v>0.8823529412</v>
      </c>
      <c r="AG28" s="61" t="n">
        <f aca="false">IFERROR(COUNTIF(AG$3:AG23, "&gt;0")/COUNTA($B$3:$B$22), 0)</f>
        <v>0</v>
      </c>
      <c r="AH28" s="61" t="n">
        <f aca="false">IFERROR(COUNTIF(AH$3:AH23, "&gt;0")/COUNTA($B$3:$B$22), 0)</f>
        <v>0.882352941176471</v>
      </c>
      <c r="AI28" s="64"/>
      <c r="AJ28" s="65"/>
      <c r="AK28" s="2"/>
      <c r="AL28" s="61" t="n">
        <f aca="false">IFERROR(COUNTIF(AL$3:AL23, "&gt;24")/COUNTA($B$3:$B$22), 0)</f>
        <v>0.8235294118</v>
      </c>
      <c r="AM28" s="66"/>
      <c r="AN28" s="2"/>
    </row>
    <row r="29" customFormat="false" ht="15.75" hidden="false" customHeight="false" outlineLevel="0" collapsed="false">
      <c r="A29" s="2"/>
      <c r="B29" s="2"/>
      <c r="C29" s="2"/>
      <c r="D29" s="2"/>
      <c r="E29" s="2" t="s">
        <v>32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7"/>
      <c r="Q29" s="2"/>
      <c r="R29" s="2"/>
      <c r="S29" s="2"/>
      <c r="T29" s="47"/>
      <c r="U29" s="2"/>
      <c r="V29" s="2"/>
      <c r="W29" s="2"/>
      <c r="X29" s="2"/>
      <c r="Y29" s="2"/>
      <c r="Z29" s="63"/>
      <c r="AA29" s="2"/>
      <c r="AB29" s="2"/>
      <c r="AC29" s="63"/>
      <c r="AD29" s="2"/>
      <c r="AE29" s="2"/>
      <c r="AF29" s="2"/>
      <c r="AG29" s="2"/>
      <c r="AH29" s="2"/>
      <c r="AI29" s="64"/>
      <c r="AJ29" s="65"/>
      <c r="AK29" s="2"/>
      <c r="AL29" s="2"/>
      <c r="AM29" s="66"/>
      <c r="AN29" s="2"/>
    </row>
    <row r="30" customFormat="false" ht="15.75" hidden="false" customHeight="false" outlineLevel="0" collapsed="false">
      <c r="A30" s="67"/>
      <c r="B30" s="67"/>
      <c r="C30" s="2"/>
      <c r="D30" s="2"/>
      <c r="E30" s="2" t="s">
        <v>33</v>
      </c>
      <c r="F30" s="2"/>
      <c r="G30" s="2"/>
      <c r="H30" s="2"/>
      <c r="I30" s="2"/>
      <c r="J30" s="2"/>
      <c r="K30" s="2"/>
      <c r="L30" s="2" t="s">
        <v>34</v>
      </c>
      <c r="M30" s="2"/>
      <c r="N30" s="2"/>
      <c r="O30" s="2"/>
      <c r="P30" s="47"/>
      <c r="Q30" s="2"/>
      <c r="R30" s="2"/>
      <c r="S30" s="2"/>
      <c r="T30" s="47"/>
      <c r="U30" s="2"/>
      <c r="V30" s="2"/>
      <c r="W30" s="2"/>
      <c r="X30" s="2"/>
      <c r="Y30" s="2"/>
      <c r="Z30" s="63"/>
      <c r="AA30" s="2"/>
      <c r="AB30" s="2"/>
      <c r="AC30" s="63"/>
      <c r="AD30" s="2"/>
      <c r="AE30" s="2"/>
      <c r="AF30" s="2"/>
      <c r="AG30" s="2"/>
      <c r="AH30" s="2"/>
      <c r="AI30" s="64"/>
      <c r="AJ30" s="65"/>
      <c r="AK30" s="2"/>
      <c r="AL30" s="2"/>
      <c r="AM30" s="66"/>
      <c r="AN30" s="2"/>
    </row>
    <row r="31" customFormat="false" ht="15.75" hidden="false" customHeight="false" outlineLevel="0" collapsed="false">
      <c r="E31" s="2" t="s">
        <v>35</v>
      </c>
      <c r="P31" s="68"/>
      <c r="T31" s="68"/>
      <c r="Z31" s="57"/>
      <c r="AC31" s="57"/>
      <c r="AI31" s="69"/>
      <c r="AJ31" s="70"/>
      <c r="AM31" s="71"/>
    </row>
    <row r="32" customFormat="false" ht="15.75" hidden="false" customHeight="false" outlineLevel="0" collapsed="false">
      <c r="E32" s="2" t="s">
        <v>36</v>
      </c>
      <c r="P32" s="68"/>
      <c r="T32" s="68"/>
      <c r="Z32" s="57"/>
      <c r="AC32" s="57"/>
      <c r="AI32" s="69"/>
      <c r="AJ32" s="70"/>
      <c r="AM32" s="71"/>
    </row>
    <row r="33" customFormat="false" ht="15.75" hidden="false" customHeight="false" outlineLevel="0" collapsed="false">
      <c r="P33" s="68"/>
      <c r="T33" s="68"/>
      <c r="Z33" s="57"/>
      <c r="AC33" s="57"/>
      <c r="AI33" s="69"/>
      <c r="AJ33" s="70"/>
      <c r="AM33" s="71"/>
    </row>
  </sheetData>
  <mergeCells count="13">
    <mergeCell ref="A1:A2"/>
    <mergeCell ref="E1:O1"/>
    <mergeCell ref="Q1:S1"/>
    <mergeCell ref="U1:Y1"/>
    <mergeCell ref="AA1:AA2"/>
    <mergeCell ref="AB1:AB2"/>
    <mergeCell ref="AD1:AE1"/>
    <mergeCell ref="AF1:AG1"/>
    <mergeCell ref="AH1:AH2"/>
    <mergeCell ref="AJ1:AJ2"/>
    <mergeCell ref="AK1:AK2"/>
    <mergeCell ref="AL1:AL2"/>
    <mergeCell ref="AM1:AN1"/>
  </mergeCells>
  <conditionalFormatting sqref="AI3:AJ23">
    <cfRule type="cellIs" priority="2" operator="equal" aboveAverage="0" equalAverage="0" bottom="0" percent="0" rank="0" text="" dxfId="0">
      <formula>"нет"</formula>
    </cfRule>
    <cfRule type="cellIs" priority="3" operator="equal" aboveAverage="0" equalAverage="0" bottom="0" percent="0" rank="0" text="" dxfId="1">
      <formula>"да"</formula>
    </cfRule>
  </conditionalFormatting>
  <conditionalFormatting sqref="AN3:AN23">
    <cfRule type="beginsWith" priority="4" operator="beginsWith" aboveAverage="0" equalAverage="0" bottom="0" percent="0" rank="0" text="зачет" dxfId="2">
      <formula>LEFT(AN3,LEN("зачет"))="зачет"</formula>
    </cfRule>
  </conditionalFormatting>
  <conditionalFormatting sqref="E3:L23">
    <cfRule type="cellIs" priority="5" operator="equal" aboveAverage="0" equalAverage="0" bottom="0" percent="0" rank="0" text="" dxfId="3">
      <formula>"N"</formula>
    </cfRule>
  </conditionalFormatting>
  <conditionalFormatting sqref="S3:S23 Y3:AB23 AH3:AH23 AK3:AL23">
    <cfRule type="containsText" priority="6" operator="containsText" aboveAverage="0" equalAverage="0" bottom="0" percent="0" rank="0" text="." dxfId="4">
      <formula>NOT(ISERROR(SEARCH(".",S3)))</formula>
    </cfRule>
  </conditionalFormatting>
  <conditionalFormatting sqref="R3:R23">
    <cfRule type="expression" priority="7" aboveAverage="0" equalAverage="0" bottom="0" percent="0" rank="0" text="" dxfId="5">
      <formula>R3&gt;45230</formula>
    </cfRule>
  </conditionalFormatting>
  <conditionalFormatting sqref="V3:X23 AC3:AG23">
    <cfRule type="expression" priority="8" aboveAverage="0" equalAverage="0" bottom="0" percent="0" rank="0" text="" dxfId="5">
      <formula>V3&gt;45291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2025-07-16T15:16:44Z</dcterms:modified>
  <cp:revision>1</cp:revision>
  <dc:subject/>
  <dc:title/>
</cp:coreProperties>
</file>